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BFC9E315-5A8A-41B7-9D2D-02D7780E8363}" xr6:coauthVersionLast="47" xr6:coauthVersionMax="47" xr10:uidLastSave="{00000000-0000-0000-0000-000000000000}"/>
  <bookViews>
    <workbookView xWindow="-110" yWindow="-110" windowWidth="19420" windowHeight="10420" xr2:uid="{78A7C574-9015-4C5F-A4C1-2783F3E916B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78" i="1" l="1"/>
  <c r="AJ78" i="1"/>
  <c r="AI78" i="1"/>
  <c r="W78" i="1"/>
  <c r="V78" i="1"/>
  <c r="U78" i="1"/>
  <c r="T78" i="1"/>
  <c r="S78" i="1"/>
  <c r="R78" i="1"/>
  <c r="K78" i="1"/>
  <c r="J78" i="1"/>
  <c r="I78" i="1"/>
  <c r="H78" i="1"/>
  <c r="G78" i="1"/>
  <c r="D78" i="1"/>
  <c r="C78" i="1"/>
  <c r="AN24" i="1"/>
  <c r="AJ24" i="1"/>
  <c r="AI24" i="1"/>
  <c r="W24" i="1"/>
  <c r="V24" i="1"/>
  <c r="U24" i="1"/>
  <c r="T24" i="1"/>
  <c r="S24" i="1"/>
  <c r="R24" i="1"/>
  <c r="K24" i="1"/>
  <c r="J24" i="1"/>
  <c r="I24" i="1"/>
  <c r="H24" i="1"/>
  <c r="G24" i="1"/>
  <c r="D24" i="1"/>
  <c r="C24" i="1"/>
  <c r="AN97" i="1"/>
  <c r="AJ97" i="1"/>
  <c r="AI97" i="1"/>
  <c r="W97" i="1"/>
  <c r="V97" i="1"/>
  <c r="U97" i="1"/>
  <c r="T97" i="1"/>
  <c r="S97" i="1"/>
  <c r="R97" i="1"/>
  <c r="K97" i="1"/>
  <c r="J97" i="1"/>
  <c r="I97" i="1"/>
  <c r="H97" i="1"/>
  <c r="G97" i="1"/>
  <c r="D97" i="1"/>
  <c r="C97" i="1"/>
  <c r="AN46" i="1"/>
  <c r="AJ46" i="1"/>
  <c r="AI46" i="1"/>
  <c r="W46" i="1"/>
  <c r="V46" i="1"/>
  <c r="U46" i="1"/>
  <c r="T46" i="1"/>
  <c r="S46" i="1"/>
  <c r="R46" i="1"/>
  <c r="K46" i="1"/>
  <c r="J46" i="1"/>
  <c r="I46" i="1"/>
  <c r="H46" i="1"/>
  <c r="G46" i="1"/>
  <c r="D46" i="1"/>
  <c r="C46" i="1"/>
  <c r="AN45" i="1"/>
  <c r="AJ45" i="1"/>
  <c r="AI45" i="1"/>
  <c r="W45" i="1"/>
  <c r="V45" i="1"/>
  <c r="U45" i="1"/>
  <c r="T45" i="1"/>
  <c r="S45" i="1"/>
  <c r="R45" i="1"/>
  <c r="K45" i="1"/>
  <c r="J45" i="1"/>
  <c r="I45" i="1"/>
  <c r="H45" i="1"/>
  <c r="G45" i="1"/>
  <c r="D45" i="1"/>
  <c r="C45" i="1"/>
  <c r="AN88" i="1"/>
  <c r="AJ88" i="1"/>
  <c r="AI88" i="1"/>
  <c r="W88" i="1"/>
  <c r="V88" i="1"/>
  <c r="U88" i="1"/>
  <c r="T88" i="1"/>
  <c r="S88" i="1"/>
  <c r="R88" i="1"/>
  <c r="K88" i="1"/>
  <c r="J88" i="1"/>
  <c r="I88" i="1"/>
  <c r="H88" i="1"/>
  <c r="G88" i="1"/>
  <c r="D88" i="1"/>
  <c r="C88" i="1"/>
  <c r="AN80" i="1"/>
  <c r="AJ80" i="1"/>
  <c r="AI80" i="1"/>
  <c r="W80" i="1"/>
  <c r="V80" i="1"/>
  <c r="U80" i="1"/>
  <c r="T80" i="1"/>
  <c r="S80" i="1"/>
  <c r="R80" i="1"/>
  <c r="K80" i="1"/>
  <c r="J80" i="1"/>
  <c r="I80" i="1"/>
  <c r="H80" i="1"/>
  <c r="G80" i="1"/>
  <c r="D80" i="1"/>
  <c r="C80" i="1"/>
  <c r="AN54" i="1"/>
  <c r="AJ54" i="1"/>
  <c r="AI54" i="1"/>
  <c r="W54" i="1"/>
  <c r="V54" i="1"/>
  <c r="U54" i="1"/>
  <c r="T54" i="1"/>
  <c r="S54" i="1"/>
  <c r="R54" i="1"/>
  <c r="K54" i="1"/>
  <c r="J54" i="1"/>
  <c r="I54" i="1"/>
  <c r="H54" i="1"/>
  <c r="G54" i="1"/>
  <c r="D54" i="1"/>
  <c r="C54" i="1"/>
  <c r="AN32" i="1"/>
  <c r="AJ32" i="1"/>
  <c r="AI32" i="1"/>
  <c r="W32" i="1"/>
  <c r="V32" i="1"/>
  <c r="U32" i="1"/>
  <c r="T32" i="1"/>
  <c r="S32" i="1"/>
  <c r="R32" i="1"/>
  <c r="K32" i="1"/>
  <c r="J32" i="1"/>
  <c r="I32" i="1"/>
  <c r="H32" i="1"/>
  <c r="G32" i="1"/>
  <c r="D32" i="1"/>
  <c r="C32" i="1"/>
  <c r="AN15" i="1"/>
  <c r="AJ15" i="1"/>
  <c r="AI15" i="1"/>
  <c r="W15" i="1"/>
  <c r="V15" i="1"/>
  <c r="U15" i="1"/>
  <c r="T15" i="1"/>
  <c r="S15" i="1"/>
  <c r="R15" i="1"/>
  <c r="K15" i="1"/>
  <c r="J15" i="1"/>
  <c r="I15" i="1"/>
  <c r="H15" i="1"/>
  <c r="G15" i="1"/>
  <c r="D15" i="1"/>
  <c r="C15" i="1"/>
  <c r="AN44" i="1"/>
  <c r="AJ44" i="1"/>
  <c r="AI44" i="1"/>
  <c r="W44" i="1"/>
  <c r="V44" i="1"/>
  <c r="U44" i="1"/>
  <c r="T44" i="1"/>
  <c r="S44" i="1"/>
  <c r="R44" i="1"/>
  <c r="K44" i="1"/>
  <c r="J44" i="1"/>
  <c r="I44" i="1"/>
  <c r="H44" i="1"/>
  <c r="G44" i="1"/>
  <c r="D44" i="1"/>
  <c r="C44" i="1"/>
  <c r="AN43" i="1"/>
  <c r="AJ43" i="1"/>
  <c r="AI43" i="1"/>
  <c r="W43" i="1"/>
  <c r="V43" i="1"/>
  <c r="U43" i="1"/>
  <c r="T43" i="1"/>
  <c r="S43" i="1"/>
  <c r="R43" i="1"/>
  <c r="K43" i="1"/>
  <c r="J43" i="1"/>
  <c r="I43" i="1"/>
  <c r="H43" i="1"/>
  <c r="G43" i="1"/>
  <c r="D43" i="1"/>
  <c r="C43" i="1"/>
  <c r="AN96" i="1"/>
  <c r="AJ96" i="1"/>
  <c r="AI96" i="1"/>
  <c r="W96" i="1"/>
  <c r="V96" i="1"/>
  <c r="U96" i="1"/>
  <c r="T96" i="1"/>
  <c r="S96" i="1"/>
  <c r="R96" i="1"/>
  <c r="K96" i="1"/>
  <c r="J96" i="1"/>
  <c r="I96" i="1"/>
  <c r="H96" i="1"/>
  <c r="G96" i="1"/>
  <c r="D96" i="1"/>
  <c r="C96" i="1"/>
  <c r="AN71" i="1"/>
  <c r="AJ71" i="1"/>
  <c r="AI71" i="1"/>
  <c r="W71" i="1"/>
  <c r="V71" i="1"/>
  <c r="U71" i="1"/>
  <c r="T71" i="1"/>
  <c r="S71" i="1"/>
  <c r="R71" i="1"/>
  <c r="K71" i="1"/>
  <c r="J71" i="1"/>
  <c r="I71" i="1"/>
  <c r="H71" i="1"/>
  <c r="G71" i="1"/>
  <c r="D71" i="1"/>
  <c r="C71" i="1"/>
  <c r="AN62" i="1"/>
  <c r="AJ62" i="1"/>
  <c r="AI62" i="1"/>
  <c r="W62" i="1"/>
  <c r="V62" i="1"/>
  <c r="U62" i="1"/>
  <c r="T62" i="1"/>
  <c r="S62" i="1"/>
  <c r="R62" i="1"/>
  <c r="K62" i="1"/>
  <c r="J62" i="1"/>
  <c r="I62" i="1"/>
  <c r="H62" i="1"/>
  <c r="G62" i="1"/>
  <c r="D62" i="1"/>
  <c r="C62" i="1"/>
  <c r="AN23" i="1"/>
  <c r="AJ23" i="1"/>
  <c r="AI23" i="1"/>
  <c r="W23" i="1"/>
  <c r="V23" i="1"/>
  <c r="U23" i="1"/>
  <c r="T23" i="1"/>
  <c r="S23" i="1"/>
  <c r="R23" i="1"/>
  <c r="K23" i="1"/>
  <c r="J23" i="1"/>
  <c r="I23" i="1"/>
  <c r="H23" i="1"/>
  <c r="G23" i="1"/>
  <c r="D23" i="1"/>
  <c r="C23" i="1"/>
  <c r="AN14" i="1"/>
  <c r="AJ14" i="1"/>
  <c r="AI14" i="1"/>
  <c r="W14" i="1"/>
  <c r="V14" i="1"/>
  <c r="U14" i="1"/>
  <c r="T14" i="1"/>
  <c r="S14" i="1"/>
  <c r="R14" i="1"/>
  <c r="K14" i="1"/>
  <c r="J14" i="1"/>
  <c r="I14" i="1"/>
  <c r="H14" i="1"/>
  <c r="G14" i="1"/>
  <c r="D14" i="1"/>
  <c r="C14" i="1"/>
  <c r="AN69" i="1"/>
  <c r="AJ69" i="1"/>
  <c r="AI69" i="1"/>
  <c r="W69" i="1"/>
  <c r="V69" i="1"/>
  <c r="U69" i="1"/>
  <c r="T69" i="1"/>
  <c r="S69" i="1"/>
  <c r="R69" i="1"/>
  <c r="K69" i="1"/>
  <c r="J69" i="1"/>
  <c r="I69" i="1"/>
  <c r="H69" i="1"/>
  <c r="G69" i="1"/>
  <c r="D69" i="1"/>
  <c r="C69" i="1"/>
  <c r="AN30" i="1"/>
  <c r="AJ30" i="1"/>
  <c r="AI30" i="1"/>
  <c r="W30" i="1"/>
  <c r="V30" i="1"/>
  <c r="U30" i="1"/>
  <c r="T30" i="1"/>
  <c r="S30" i="1"/>
  <c r="R30" i="1"/>
  <c r="K30" i="1"/>
  <c r="J30" i="1"/>
  <c r="I30" i="1"/>
  <c r="H30" i="1"/>
  <c r="G30" i="1"/>
  <c r="D30" i="1"/>
  <c r="C30" i="1"/>
  <c r="AN21" i="1"/>
  <c r="AJ21" i="1"/>
  <c r="AI21" i="1"/>
  <c r="W21" i="1"/>
  <c r="V21" i="1"/>
  <c r="U21" i="1"/>
  <c r="T21" i="1"/>
  <c r="S21" i="1"/>
  <c r="R21" i="1"/>
  <c r="K21" i="1"/>
  <c r="J21" i="1"/>
  <c r="I21" i="1"/>
  <c r="H21" i="1"/>
  <c r="G21" i="1"/>
  <c r="D21" i="1"/>
  <c r="C21" i="1"/>
  <c r="AN60" i="1"/>
  <c r="AJ60" i="1"/>
  <c r="AI60" i="1"/>
  <c r="W60" i="1"/>
  <c r="V60" i="1"/>
  <c r="U60" i="1"/>
  <c r="T60" i="1"/>
  <c r="S60" i="1"/>
  <c r="R60" i="1"/>
  <c r="K60" i="1"/>
  <c r="J60" i="1"/>
  <c r="I60" i="1"/>
  <c r="H60" i="1"/>
  <c r="G60" i="1"/>
  <c r="D60" i="1"/>
  <c r="C60" i="1"/>
  <c r="AN52" i="1"/>
  <c r="AJ52" i="1"/>
  <c r="AI52" i="1"/>
  <c r="W52" i="1"/>
  <c r="V52" i="1"/>
  <c r="U52" i="1"/>
  <c r="T52" i="1"/>
  <c r="S52" i="1"/>
  <c r="R52" i="1"/>
  <c r="K52" i="1"/>
  <c r="J52" i="1"/>
  <c r="I52" i="1"/>
  <c r="H52" i="1"/>
  <c r="G52" i="1"/>
  <c r="D52" i="1"/>
  <c r="C52" i="1"/>
  <c r="AN94" i="1"/>
  <c r="AJ94" i="1"/>
  <c r="AI94" i="1"/>
  <c r="W94" i="1"/>
  <c r="V94" i="1"/>
  <c r="U94" i="1"/>
  <c r="T94" i="1"/>
  <c r="S94" i="1"/>
  <c r="R94" i="1"/>
  <c r="K94" i="1"/>
  <c r="J94" i="1"/>
  <c r="I94" i="1"/>
  <c r="H94" i="1"/>
  <c r="G94" i="1"/>
  <c r="D94" i="1"/>
  <c r="C94" i="1"/>
  <c r="AN86" i="1"/>
  <c r="AJ86" i="1"/>
  <c r="AI86" i="1"/>
  <c r="W86" i="1"/>
  <c r="V86" i="1"/>
  <c r="U86" i="1"/>
  <c r="T86" i="1"/>
  <c r="S86" i="1"/>
  <c r="R86" i="1"/>
  <c r="K86" i="1"/>
  <c r="J86" i="1"/>
  <c r="I86" i="1"/>
  <c r="H86" i="1"/>
  <c r="G86" i="1"/>
  <c r="D86" i="1"/>
  <c r="C86" i="1"/>
  <c r="AN77" i="1"/>
  <c r="AJ77" i="1"/>
  <c r="AI77" i="1"/>
  <c r="W77" i="1"/>
  <c r="V77" i="1"/>
  <c r="U77" i="1"/>
  <c r="T77" i="1"/>
  <c r="S77" i="1"/>
  <c r="R77" i="1"/>
  <c r="K77" i="1"/>
  <c r="J77" i="1"/>
  <c r="I77" i="1"/>
  <c r="H77" i="1"/>
  <c r="G77" i="1"/>
  <c r="D77" i="1"/>
  <c r="C77" i="1"/>
  <c r="AN68" i="1"/>
  <c r="AJ68" i="1"/>
  <c r="AI68" i="1"/>
  <c r="W68" i="1"/>
  <c r="V68" i="1"/>
  <c r="U68" i="1"/>
  <c r="T68" i="1"/>
  <c r="S68" i="1"/>
  <c r="R68" i="1"/>
  <c r="K68" i="1"/>
  <c r="J68" i="1"/>
  <c r="I68" i="1"/>
  <c r="H68" i="1"/>
  <c r="G68" i="1"/>
  <c r="D68" i="1"/>
  <c r="C68" i="1"/>
  <c r="AN38" i="1"/>
  <c r="AJ38" i="1"/>
  <c r="AI38" i="1"/>
  <c r="W38" i="1"/>
  <c r="V38" i="1"/>
  <c r="U38" i="1"/>
  <c r="T38" i="1"/>
  <c r="S38" i="1"/>
  <c r="R38" i="1"/>
  <c r="K38" i="1"/>
  <c r="J38" i="1"/>
  <c r="I38" i="1"/>
  <c r="H38" i="1"/>
  <c r="G38" i="1"/>
  <c r="D38" i="1"/>
  <c r="C38" i="1"/>
  <c r="AN40" i="1"/>
  <c r="AJ40" i="1"/>
  <c r="AI40" i="1"/>
  <c r="W40" i="1"/>
  <c r="V40" i="1"/>
  <c r="U40" i="1"/>
  <c r="T40" i="1"/>
  <c r="S40" i="1"/>
  <c r="R40" i="1"/>
  <c r="K40" i="1"/>
  <c r="J40" i="1"/>
  <c r="I40" i="1"/>
  <c r="H40" i="1"/>
  <c r="G40" i="1"/>
  <c r="D40" i="1"/>
  <c r="C40" i="1"/>
  <c r="AN41" i="1"/>
  <c r="AJ41" i="1"/>
  <c r="AI41" i="1"/>
  <c r="W41" i="1"/>
  <c r="V41" i="1"/>
  <c r="U41" i="1"/>
  <c r="T41" i="1"/>
  <c r="S41" i="1"/>
  <c r="R41" i="1"/>
  <c r="K41" i="1"/>
  <c r="J41" i="1"/>
  <c r="I41" i="1"/>
  <c r="H41" i="1"/>
  <c r="G41" i="1"/>
  <c r="D41" i="1"/>
  <c r="C41" i="1"/>
  <c r="AN39" i="1"/>
  <c r="AJ39" i="1"/>
  <c r="AI39" i="1"/>
  <c r="W39" i="1"/>
  <c r="V39" i="1"/>
  <c r="U39" i="1"/>
  <c r="T39" i="1"/>
  <c r="S39" i="1"/>
  <c r="R39" i="1"/>
  <c r="K39" i="1"/>
  <c r="J39" i="1"/>
  <c r="I39" i="1"/>
  <c r="H39" i="1"/>
  <c r="G39" i="1"/>
  <c r="D39" i="1"/>
  <c r="C39" i="1"/>
  <c r="AN12" i="1"/>
  <c r="AJ12" i="1"/>
  <c r="AI12" i="1"/>
  <c r="W12" i="1"/>
  <c r="V12" i="1"/>
  <c r="U12" i="1"/>
  <c r="T12" i="1"/>
  <c r="S12" i="1"/>
  <c r="R12" i="1"/>
  <c r="K12" i="1"/>
  <c r="J12" i="1"/>
  <c r="I12" i="1"/>
  <c r="H12" i="1"/>
  <c r="G12" i="1"/>
  <c r="D12" i="1"/>
  <c r="C12" i="1"/>
  <c r="AN11" i="1"/>
  <c r="AJ11" i="1"/>
  <c r="AI11" i="1"/>
  <c r="W11" i="1"/>
  <c r="V11" i="1"/>
  <c r="U11" i="1"/>
  <c r="T11" i="1"/>
  <c r="S11" i="1"/>
  <c r="R11" i="1"/>
  <c r="K11" i="1"/>
  <c r="J11" i="1"/>
  <c r="I11" i="1"/>
  <c r="H11" i="1"/>
  <c r="G11" i="1"/>
  <c r="D11" i="1"/>
  <c r="C11" i="1"/>
</calcChain>
</file>

<file path=xl/sharedStrings.xml><?xml version="1.0" encoding="utf-8"?>
<sst xmlns="http://schemas.openxmlformats.org/spreadsheetml/2006/main" count="1194" uniqueCount="375">
  <si>
    <t>Szkoły podstawowe</t>
  </si>
  <si>
    <t>Szkoły ponadpodstawowe</t>
  </si>
  <si>
    <t>HBSC 2018 numer</t>
  </si>
  <si>
    <t>Powiat ciechanowski</t>
  </si>
  <si>
    <t>Powiat grodziski</t>
  </si>
  <si>
    <t>Powiat legionowski</t>
  </si>
  <si>
    <t>Miasto st. Warszawa</t>
  </si>
  <si>
    <t>Powiat mławski</t>
  </si>
  <si>
    <t>Powiat nowodworski</t>
  </si>
  <si>
    <t>Powiat płocki</t>
  </si>
  <si>
    <t>Powiat przysuski</t>
  </si>
  <si>
    <t>Powiat warszawski zachodni</t>
  </si>
  <si>
    <t>Założenia: 16 szkół podstawowych; 9 liceów ogólnokształcących; 7 techników</t>
  </si>
  <si>
    <t>8 szkoł z Warszawy (po 2 każdego poziomu)</t>
  </si>
  <si>
    <t>5 powiatów po 2 szkoły</t>
  </si>
  <si>
    <t>Numer RSPO</t>
  </si>
  <si>
    <t>REGON podmiotu</t>
  </si>
  <si>
    <t>NIP podmiotu</t>
  </si>
  <si>
    <t>Typ</t>
  </si>
  <si>
    <t>Nazwa</t>
  </si>
  <si>
    <t>Kod terytorialny województwo</t>
  </si>
  <si>
    <t>Kod terytorialny powiat</t>
  </si>
  <si>
    <t>Kod terytorialny gmina</t>
  </si>
  <si>
    <t>Kod terytorialny miejscowosc</t>
  </si>
  <si>
    <t>Kod terytorialny ulica</t>
  </si>
  <si>
    <t>Województwo</t>
  </si>
  <si>
    <t>Powiat</t>
  </si>
  <si>
    <t>Gmina</t>
  </si>
  <si>
    <t>Miejscowość</t>
  </si>
  <si>
    <t>Rodzaj miejscowości</t>
  </si>
  <si>
    <t>Ulica</t>
  </si>
  <si>
    <t>Numer budynku</t>
  </si>
  <si>
    <t>Numer lokalu</t>
  </si>
  <si>
    <t>Kod pocztowy</t>
  </si>
  <si>
    <t>Poczta</t>
  </si>
  <si>
    <t>Telefon</t>
  </si>
  <si>
    <t>Faks</t>
  </si>
  <si>
    <t>E-mail</t>
  </si>
  <si>
    <t>Strona www</t>
  </si>
  <si>
    <t>Publiczność status</t>
  </si>
  <si>
    <t>Kategoria uczniów</t>
  </si>
  <si>
    <t>Specyfika placówki</t>
  </si>
  <si>
    <t>Imię i nazwisko dyrektora</t>
  </si>
  <si>
    <t>Data założenia</t>
  </si>
  <si>
    <t>Data rozpoczęcia działalności</t>
  </si>
  <si>
    <t>Data likwidacji</t>
  </si>
  <si>
    <t>Typ organu prowadzącego</t>
  </si>
  <si>
    <t>Nazwa organu prowadzącego</t>
  </si>
  <si>
    <t>REGON organu prowadzącego</t>
  </si>
  <si>
    <t>NIP organu prowadzącego</t>
  </si>
  <si>
    <t>Województwo organu prowadzącego</t>
  </si>
  <si>
    <t>Powiat organu prowadzącego</t>
  </si>
  <si>
    <t>Gmina organu prowadzącego</t>
  </si>
  <si>
    <t>Miejsce w strukturze</t>
  </si>
  <si>
    <t>RSPO podmiotu nadrzędnego</t>
  </si>
  <si>
    <t>Typ podmiotu nadrzędnego</t>
  </si>
  <si>
    <t>Nazwa podmiotu nadrzędnego</t>
  </si>
  <si>
    <t>Liczba uczniów</t>
  </si>
  <si>
    <t>Tereny sportowe</t>
  </si>
  <si>
    <t>Języki nauczane</t>
  </si>
  <si>
    <t>Szkoła podstawowa</t>
  </si>
  <si>
    <t>SZKOŁA PODSTAWOWA IM. M. KONOPNICKIEJ W GLINOJECKU</t>
  </si>
  <si>
    <t>MAZOWIECKIE</t>
  </si>
  <si>
    <t>ciechanowski</t>
  </si>
  <si>
    <t>Glinojeck (miasto)</t>
  </si>
  <si>
    <t>Glinojeck</t>
  </si>
  <si>
    <t>miasto</t>
  </si>
  <si>
    <t>ul. Płocka</t>
  </si>
  <si>
    <t>spglinojeck@wp.pl</t>
  </si>
  <si>
    <t>http://spglinojeck.pl</t>
  </si>
  <si>
    <t>publiczna</t>
  </si>
  <si>
    <t>Dzieci lub młodzież</t>
  </si>
  <si>
    <t>brak specyfiki</t>
  </si>
  <si>
    <t>KRZYSZTOF TURALSKI</t>
  </si>
  <si>
    <t>GMINA GLINOJECK</t>
  </si>
  <si>
    <t>boiska uniwersalne/wielozadaniowe</t>
  </si>
  <si>
    <t>angielski, rosyjski</t>
  </si>
  <si>
    <t>Powiat grójecki</t>
  </si>
  <si>
    <t>SZKOŁA PODSTAWOWA NR 4 IM 21. WARSZAWSKIEGO PUŁKU PIECHOTY "DZIECI WARSZAWY" W CIECHANOWIE</t>
  </si>
  <si>
    <t>Ciechanów (gmina miejska)</t>
  </si>
  <si>
    <t>Ciechanów</t>
  </si>
  <si>
    <t>ul. Płońska</t>
  </si>
  <si>
    <t>sp4ciechanow@gazeta.pl</t>
  </si>
  <si>
    <t>http://www.sp4.ciechanow.pl</t>
  </si>
  <si>
    <t>BARBARA KAMINSKA</t>
  </si>
  <si>
    <t>GMINA MIEJSKA CIECHANÓW</t>
  </si>
  <si>
    <t>angielski, niemiecki, chorwacki</t>
  </si>
  <si>
    <t>Warszawa</t>
  </si>
  <si>
    <t>dzielnica m.st. Warszawy</t>
  </si>
  <si>
    <t>Miasto na prawach powiatu</t>
  </si>
  <si>
    <t>angielski, hiszpański</t>
  </si>
  <si>
    <t>SZKOŁA PODSTAWOWA NR 321</t>
  </si>
  <si>
    <t>Bemowo (dzielnica)</t>
  </si>
  <si>
    <t>Bemowo</t>
  </si>
  <si>
    <t>ul. ppłk. Wacława Szadkowskiego</t>
  </si>
  <si>
    <t>sekretariat@zsp7.warszawa.pl</t>
  </si>
  <si>
    <t>http://zsp7.warszawa.pl</t>
  </si>
  <si>
    <t>URZĄD DZIELNICY BEMOWO M.ST.WARSZAWY</t>
  </si>
  <si>
    <t>Zespół szkół i placówek oświatowych</t>
  </si>
  <si>
    <t>ZESPÓŁ SZKOLNO-PRZEDSZKOLNY NR 7 W WARSZAWIE</t>
  </si>
  <si>
    <t>angielski, niemiecki</t>
  </si>
  <si>
    <t>angielski</t>
  </si>
  <si>
    <t>SZKOŁA PODSTAWOWA NR 119 IM. 3 BERLIŃSKIEGO PUŁKU PIECHOTY</t>
  </si>
  <si>
    <t>Mokotów (dzielnica)</t>
  </si>
  <si>
    <t>Mokotów</t>
  </si>
  <si>
    <t>ul. Pułku AK "Baszta"</t>
  </si>
  <si>
    <t>sp119@edu.um.warszawa.pl</t>
  </si>
  <si>
    <t>http://www.sp119.edu.pl</t>
  </si>
  <si>
    <t>KATARZYNA PRZEWODOWSKA</t>
  </si>
  <si>
    <t>MOKOTÓW</t>
  </si>
  <si>
    <t>boiska do siatkówki, boiska do koszykówki, boiska do piłki nożnej, bieżnie proste, bieżnie okólne, inne urządzenia sportowe</t>
  </si>
  <si>
    <t>SZKOŁA PODSTAWOWA NR 133 IM. STEFANA CZARNIECKIEGO</t>
  </si>
  <si>
    <t>Bielany (dzielnica)</t>
  </si>
  <si>
    <t>Bielany</t>
  </si>
  <si>
    <t>ul. Antoniego Fontany</t>
  </si>
  <si>
    <t>sp133@edu.um.warszawa.pl</t>
  </si>
  <si>
    <t>http://www.sp133waw.edupage.org</t>
  </si>
  <si>
    <t>MAŁGORZATA SZERSZEŃ</t>
  </si>
  <si>
    <t>BIELANY</t>
  </si>
  <si>
    <t>boiska do siatkówki, boiska do koszykówki, boiska do piłki nożnej, bieżnie proste, skocznie</t>
  </si>
  <si>
    <t>SZKOŁA PODSTAWOWA NR 141 IM. MJR HENRYKA SUCHARSKIEGO</t>
  </si>
  <si>
    <t>Praga-Południe (dzielnica)</t>
  </si>
  <si>
    <t>Praga-Południe</t>
  </si>
  <si>
    <t>ul. Szaserów</t>
  </si>
  <si>
    <t>sp141@edu.um.warszawa.pl</t>
  </si>
  <si>
    <t>http://www.sp141warszawa.edupage.org</t>
  </si>
  <si>
    <t>ANNA GOŁYGOWSKA</t>
  </si>
  <si>
    <t>PRAGA-POŁUDNIE</t>
  </si>
  <si>
    <t>boiska do siatkówki, boiska do koszykówki, bieżnie okólne, skocznie, boiska uniwersalne/wielozadaniowe</t>
  </si>
  <si>
    <t>SZKOŁA PODSTAWOWA IM. PREZYDENTA GABRIELA NARUTOWICZA W CZĄSTKOWIE MAZOWIECKIM</t>
  </si>
  <si>
    <t>nowodworski</t>
  </si>
  <si>
    <t>Czosnów (gmina wiejska)</t>
  </si>
  <si>
    <t>Cząstków Mazowiecki</t>
  </si>
  <si>
    <t>wieś</t>
  </si>
  <si>
    <t>szkolaczastkow@gmail.com</t>
  </si>
  <si>
    <t>http://zspczastkow.prohost.pl</t>
  </si>
  <si>
    <t>EDYTA BIELECKA</t>
  </si>
  <si>
    <t>GMINA CZOSNÓW</t>
  </si>
  <si>
    <t>SZKOŁA PODSTAWOWA IM. MARII KONOPNICKIEJ W GĄBINIE</t>
  </si>
  <si>
    <t>płocki</t>
  </si>
  <si>
    <t>Gąbin (miasto)</t>
  </si>
  <si>
    <t>Gąbin</t>
  </si>
  <si>
    <t>ul. Aleja Jana Pawła II</t>
  </si>
  <si>
    <t>sekretariat@sp.gabin.pl</t>
  </si>
  <si>
    <t>http://www.sp.gabin.pl/</t>
  </si>
  <si>
    <t>ANNA BRODOWSKA</t>
  </si>
  <si>
    <t>GMINA GĄBIN</t>
  </si>
  <si>
    <t>boiska do piłki nożnej, boiska uniwersalne/wielozadaniowe</t>
  </si>
  <si>
    <t>PUBLICZNA SZKOŁA PODSTAWOWA W SKRZYŃSKU</t>
  </si>
  <si>
    <t>przysuski</t>
  </si>
  <si>
    <t>Przysucha (obszar wiejski)</t>
  </si>
  <si>
    <t>Skrzyńsko</t>
  </si>
  <si>
    <t>ul. Wjazdowa</t>
  </si>
  <si>
    <t>szkola@skrzynsko.edu.pl</t>
  </si>
  <si>
    <t>http://</t>
  </si>
  <si>
    <t>DOROTA CIEŚLIKOWSKA</t>
  </si>
  <si>
    <t>GMINA I MIASTO PRZYSUCHA</t>
  </si>
  <si>
    <t>Przysucha (miasto)</t>
  </si>
  <si>
    <t>SZKOŁA PODSTAWOWA IM. POR. ADOLFA PILCHA PS. GÓRA-DOLINA W DZIEKANOWIE POLSKIM</t>
  </si>
  <si>
    <t>warszawski zachodni</t>
  </si>
  <si>
    <t>Łomianki (obszar wiejski)</t>
  </si>
  <si>
    <t>Dziekanów Polski</t>
  </si>
  <si>
    <t>ul. Rolnicza</t>
  </si>
  <si>
    <t>sekretariat@spdziekanowpol.szkolnastrona.pl</t>
  </si>
  <si>
    <t>http://www.spdziekanowpol.szkolnastrona.pl</t>
  </si>
  <si>
    <t>Małgorzata Korulczyk</t>
  </si>
  <si>
    <t>GMINA ŁOMIANKI</t>
  </si>
  <si>
    <t>Łomianki (miasto)</t>
  </si>
  <si>
    <t>SZKOŁA PODSTAWOWA NR 8 IM. 1 WARSZAWSKIEJ DYWIZJI PIECHOTY W LEGIONOWIE</t>
  </si>
  <si>
    <t>legionowski</t>
  </si>
  <si>
    <t>Legionowo (gmina miejska)</t>
  </si>
  <si>
    <t>Legionowo</t>
  </si>
  <si>
    <t>ul. Zegrzyńska</t>
  </si>
  <si>
    <t>sp8leg@wp.pl</t>
  </si>
  <si>
    <t>https://www.sp8.legionowo.pl/</t>
  </si>
  <si>
    <t>AGNIESZKA JAKUBOWSKA</t>
  </si>
  <si>
    <t>GMINA MIEJSKA LEGIONOWO</t>
  </si>
  <si>
    <t>SZKOŁA PODSTAWOWA NR 6 Z ODDZIAŁAMI INTEGRACYJNYMI IM. KORNELA MAKUSZYŃSKIEGO W MŁAWIE</t>
  </si>
  <si>
    <t>mławski</t>
  </si>
  <si>
    <t>Mława (gmina miejska)</t>
  </si>
  <si>
    <t>Mława</t>
  </si>
  <si>
    <t>ul. Żołnierzy 80 Pułku Piechoty</t>
  </si>
  <si>
    <t>sp6@mlawa.pl</t>
  </si>
  <si>
    <t>http://www.sp6.mlawa.pl</t>
  </si>
  <si>
    <t>PIOTR PIWOWARSKI</t>
  </si>
  <si>
    <t>MIASTO MŁAWA</t>
  </si>
  <si>
    <t>boiska do koszykówki, boiska do piłki nożnej, bieżnie proste, skocznie</t>
  </si>
  <si>
    <t>PUBLICZNA SZKOŁA PODSTAWOWA IM. KARDYNAŁA STEFANA WYSZYŃSKIEGO</t>
  </si>
  <si>
    <t>grójecki</t>
  </si>
  <si>
    <t>Nowe Miasto nad Pilicą (miasto)</t>
  </si>
  <si>
    <t>Nowe Miasto nad Pilicą</t>
  </si>
  <si>
    <t>ul. Szkolna</t>
  </si>
  <si>
    <t>specjw@box43.pl</t>
  </si>
  <si>
    <t>http://www.psp.nowemiasto.pl</t>
  </si>
  <si>
    <t>KATARZYNA GRZYB</t>
  </si>
  <si>
    <t>GMINA NOWE MIASTO NAD PILICĄ</t>
  </si>
  <si>
    <t>SZKOŁA PODSTAWOWA IM.BOHATERÓW WARSZAWY</t>
  </si>
  <si>
    <t>grodziski</t>
  </si>
  <si>
    <t>Podkowa Leśna (gmina miejska)</t>
  </si>
  <si>
    <t>Podkowa Leśna</t>
  </si>
  <si>
    <t>ul. Jana Pawła II</t>
  </si>
  <si>
    <t>sekretariat@podkowa-szkola.pl</t>
  </si>
  <si>
    <t>http://podkowa-szkola.pl</t>
  </si>
  <si>
    <t>AGNIESZKA HEIN</t>
  </si>
  <si>
    <t>MIASTO PODKOWA LEŚNA</t>
  </si>
  <si>
    <t>bieżnie proste, skocznie, rzutnie, boiska uniwersalne/wielozadaniowe</t>
  </si>
  <si>
    <t>Wyszogród (miasto)</t>
  </si>
  <si>
    <t>Wyszogród</t>
  </si>
  <si>
    <t>ul. Niepodległości</t>
  </si>
  <si>
    <t>SZKOŁA PODSTAWOWA NR 1 IM. ŚWIĘTEGO JANA PAWŁA II</t>
  </si>
  <si>
    <t>Nowy Dwór Mazowiecki (gmina miejska)</t>
  </si>
  <si>
    <t>Nowy Dwór Mazowiecki</t>
  </si>
  <si>
    <t>ul. Juliusza Słowackiego</t>
  </si>
  <si>
    <t>sekretariat@sp1.nowydwormaz.pl</t>
  </si>
  <si>
    <t>http://www.sp1ndm.edupage.org</t>
  </si>
  <si>
    <t>MARZENA SURMA</t>
  </si>
  <si>
    <t>MIASTO NOWY DWÓR MAZOWIECKI</t>
  </si>
  <si>
    <t>boiska do siatkówki plażowej, boiska do piłki nożnej, bieżnie proste, boiska uniwersalne/wielozadaniowe</t>
  </si>
  <si>
    <t>Technikum</t>
  </si>
  <si>
    <t>TECHNIKUM NR 2 W CIECHANOWIE</t>
  </si>
  <si>
    <t>ul. Orylska</t>
  </si>
  <si>
    <t>zespolszkolnr2@gmail.com</t>
  </si>
  <si>
    <t>Powiat ziemski</t>
  </si>
  <si>
    <t>POWIAT CIECHANOWSKI</t>
  </si>
  <si>
    <t>ZESPÓŁ SZKÓŁ NR 2 IM. ADAMA MICKIEWICZA W CIECHANOWIE</t>
  </si>
  <si>
    <t>angielski, francuski, hiszpański, niemiecki, rosyjski</t>
  </si>
  <si>
    <t>TECHNIKUM W JASIEŃCU</t>
  </si>
  <si>
    <t>Jasieniec (gmina wiejska)</t>
  </si>
  <si>
    <t>Jasieniec</t>
  </si>
  <si>
    <t>ul. Czerska</t>
  </si>
  <si>
    <t>zsjasieniec@wp.pl</t>
  </si>
  <si>
    <t>http://www.zspjasieniec.pl</t>
  </si>
  <si>
    <t>POWIAT GRÓJECKI</t>
  </si>
  <si>
    <t>Grójec (miasto)</t>
  </si>
  <si>
    <t>ZESPÓŁ SZKÓŁ IM. WINCENTEGO WITOSA W JASIEŃCU</t>
  </si>
  <si>
    <t>TECHNIKUM NR2 IM.ANTONINY MROZOWSKIEJ W MŁAWIE</t>
  </si>
  <si>
    <t>ul. Zuzanny Morawskiej</t>
  </si>
  <si>
    <t>dyrektor@zs2mlawa.onmicrosoft.com</t>
  </si>
  <si>
    <t>http://zs2mlawa.szkolnastrona.pl</t>
  </si>
  <si>
    <t>POWIAT MŁAWSKI</t>
  </si>
  <si>
    <t>ZESPÓŁ SZKÓŁ NR 2 W MŁAWIE</t>
  </si>
  <si>
    <t>angielski, niemiecki, rosyjski</t>
  </si>
  <si>
    <t>ZESPÓŁ SZKÓŁ PONADPODSTAWOWYCH IM.GEN.WŁADYSŁAWA SIKORSKIEGO TECHNIKUM</t>
  </si>
  <si>
    <t>Pomiechówek (gmina wiejska)</t>
  </si>
  <si>
    <t>Pomiechówek</t>
  </si>
  <si>
    <t>ul. Ogrodnicza</t>
  </si>
  <si>
    <t>sekretariat@pomiechowek.edu.pl</t>
  </si>
  <si>
    <t>http://www.pomiechowek.edu.pl</t>
  </si>
  <si>
    <t>GMINA POMIECHÓWEK</t>
  </si>
  <si>
    <t>ZESPÓŁ SZKÓŁ PONADPODSTAWOWYCH IM.GEN.WŁADYSŁAWA SIKORSKIEGO</t>
  </si>
  <si>
    <t>angielski, francuski</t>
  </si>
  <si>
    <t>TECHNIKUM IM. TONY HALIKA W ZESPOLE SZKÓŁ NR 1 W OŻAROWIE MAZOWIECKIM</t>
  </si>
  <si>
    <t>Ożarów Mazowiecki (miasto)</t>
  </si>
  <si>
    <t>Ożarów Mazowiecki</t>
  </si>
  <si>
    <t>ul. Poznańska</t>
  </si>
  <si>
    <t>szkolaozarow@poczta.onet.pl</t>
  </si>
  <si>
    <t>http://www.zs1ozarow.edupage.org</t>
  </si>
  <si>
    <t>POWIAT WARSZAWSKI ZACHODNI</t>
  </si>
  <si>
    <t>ZESPÓŁ SZKÓŁ NR 1 W OŻAROWIE MAZOWIECKIM</t>
  </si>
  <si>
    <t>TECHNIKUM GASTRONOMICZNO-HOTELARSKIE NR 2 IM. PROF. STANISŁAWA BERGERA</t>
  </si>
  <si>
    <t>ul. Majdańska</t>
  </si>
  <si>
    <t>info@zsgh.edu.pl</t>
  </si>
  <si>
    <t>http://www.zsgh.edu.pl</t>
  </si>
  <si>
    <t>ZESPÓŁ SZKÓŁ GASTRONOMICZNO-HOTELARSKICH</t>
  </si>
  <si>
    <t>TECHNIKUM ŁĄCZNOŚCI IM. PROF. DR INŻ. JANUSZA GROSZKOWSKIEGO</t>
  </si>
  <si>
    <t>al. Aleja Stanów Zjednoczonych</t>
  </si>
  <si>
    <t>zs37@zs37.waw.pl</t>
  </si>
  <si>
    <t>http://www.zs37.waw.pl</t>
  </si>
  <si>
    <t>ZESPÓŁ SZKÓŁ ŁĄCZNOŚCI W WARSZAWIE</t>
  </si>
  <si>
    <t>Liceum ogólnokształcące</t>
  </si>
  <si>
    <t>II LICEUM OGÓLNOKSZTAŁCĄCE IM. ADAMA MICKIEWICZA W CIECHANOWIE</t>
  </si>
  <si>
    <t>LICEUM OGÓLNOKSZTAŁCĄCE</t>
  </si>
  <si>
    <t>Grodzisk Mazowiecki (miasto)</t>
  </si>
  <si>
    <t>Grodzisk Mazowiecki</t>
  </si>
  <si>
    <t>ul. Żwirki i Wigury</t>
  </si>
  <si>
    <t>zs1grodzisk@powiat-grodziski.pl</t>
  </si>
  <si>
    <t>http://zs1grodzisk.pl</t>
  </si>
  <si>
    <t>POWIAT GRODZISKI</t>
  </si>
  <si>
    <t>ZESPÓŁ SZKÓŁ NR 1</t>
  </si>
  <si>
    <t>LICEUM OGÓLNOKSZTAŁCĄCE W KOMORNICY</t>
  </si>
  <si>
    <t>Wieliszew (gmina wiejska)</t>
  </si>
  <si>
    <t>Komornica</t>
  </si>
  <si>
    <t>ul. Nasielska</t>
  </si>
  <si>
    <t>zs.debe@wp.pl</t>
  </si>
  <si>
    <t>http://zspkomornica.szkolnastrona.pl</t>
  </si>
  <si>
    <t>GMINA WIELISZEW</t>
  </si>
  <si>
    <t>ZESPÓŁ SZKÓŁ W WIELISZEWIE</t>
  </si>
  <si>
    <t>angielski, francuski, niemiecki, rosyjski</t>
  </si>
  <si>
    <t>LICEUM OGÓLNOKSZTAŁCĄCE W WYSZOGRODZIE</t>
  </si>
  <si>
    <t>lowyszogrod@wp.pl</t>
  </si>
  <si>
    <t>http://www.zs-wyszogrod.pl</t>
  </si>
  <si>
    <t>POWIAT PŁOCKI</t>
  </si>
  <si>
    <t>Płock</t>
  </si>
  <si>
    <t>Płock (gmina miejska)</t>
  </si>
  <si>
    <t>ZESPÓŁ SZKÓŁ IM. JANA ŚNIADECKIEGO W WYSZOGRODZIE</t>
  </si>
  <si>
    <t>Przysucha</t>
  </si>
  <si>
    <t>al. Jana Pawła II</t>
  </si>
  <si>
    <t>zsp@przysucha.pl</t>
  </si>
  <si>
    <t>http://zsp.przysucha.edu.pl</t>
  </si>
  <si>
    <t>POWIAT PRZYSUSKI</t>
  </si>
  <si>
    <t>ZESPÓŁ SZKÓŁ NR 1 IM. JANA PAWŁA II</t>
  </si>
  <si>
    <t>angielski, francuski, niemiecki</t>
  </si>
  <si>
    <t>LX LICEUM OGÓLNOKSZTAŁCĄCE IM. WOJCIECHA GÓRSKIEGO</t>
  </si>
  <si>
    <t>ul. Lwa Tołstoja</t>
  </si>
  <si>
    <t>sekretariat@gorski.edu.pl</t>
  </si>
  <si>
    <t>http://www.gorski.edu.pl</t>
  </si>
  <si>
    <t>ZESPÓŁ SZKÓŁ NR 49</t>
  </si>
  <si>
    <t>angielski, hiszpański, niemiecki</t>
  </si>
  <si>
    <t>VI LICEUM OGÓLNOKSZTAŁCĄCE IM. TADEUSZA REYTANA</t>
  </si>
  <si>
    <t>ul. Wiktorska</t>
  </si>
  <si>
    <t>lo6@edu.um.warszawa.pl</t>
  </si>
  <si>
    <t>http://www.reytan.edu.pl</t>
  </si>
  <si>
    <t>MAŁGORZATA TUDEK</t>
  </si>
  <si>
    <t>boiska do siatkówki, boiska do koszykówki, boiska do piłki ręcznej, boiska do piłki nożnej</t>
  </si>
  <si>
    <t>I LICEUM OGÓLNOKSZTAŁCĄCE IM. WŁADYSŁAWA BRONIEWSKIEGO W BŁONIU</t>
  </si>
  <si>
    <t>Błonie (miasto)</t>
  </si>
  <si>
    <t>Błonie</t>
  </si>
  <si>
    <t>ul. Stefana Okrzei</t>
  </si>
  <si>
    <t>1liceumblonie@wp.pl</t>
  </si>
  <si>
    <t>http://www.1loblonie.edupage.org</t>
  </si>
  <si>
    <t>ANDRZEJ TRZCIŃSKI</t>
  </si>
  <si>
    <t>GMINA BŁONIE</t>
  </si>
  <si>
    <t>angielski, niemiecki, rosyjski, włoski</t>
  </si>
  <si>
    <t>1 powiat po 4 szkoly</t>
  </si>
  <si>
    <t>3 powiaty po 3 szkoly</t>
  </si>
  <si>
    <t>LICEUM OGÓLNOKSZTAŁCĄCE IM. PIOTRA WYSOCKIEGO W WARCE</t>
  </si>
  <si>
    <t>Warka (miasto)</t>
  </si>
  <si>
    <t>Warka</t>
  </si>
  <si>
    <t>ul. Warszawska</t>
  </si>
  <si>
    <t>liceumwarka@o2.pl</t>
  </si>
  <si>
    <t>http://www.lowarka.pl</t>
  </si>
  <si>
    <t>EWA KARKOWSKA</t>
  </si>
  <si>
    <t>boiska do siatkówki, boiska do koszykówki, boiska do piłki ręcznej, boiska uniwersalne/wielozadaniowe</t>
  </si>
  <si>
    <t>SZKOŁA PODSTAWOWA IM. WŁADYSŁAWA BRONIEWSKIEGO</t>
  </si>
  <si>
    <t>Bielsk (gmina wiejska)</t>
  </si>
  <si>
    <t>Bielsk</t>
  </si>
  <si>
    <t>ul. Sierpecka</t>
  </si>
  <si>
    <t>spbielsk@wp.pl</t>
  </si>
  <si>
    <t>http://www.spbielsk.pl</t>
  </si>
  <si>
    <t>MARIA KLUGE</t>
  </si>
  <si>
    <t>GMINA BIELSK</t>
  </si>
  <si>
    <t>boiska do piłki ręcznej, bieżnie proste, skocznie, inne urządzenia sportowe</t>
  </si>
  <si>
    <t>HBSC 2022</t>
  </si>
  <si>
    <t>W14/1</t>
  </si>
  <si>
    <t>W14/2</t>
  </si>
  <si>
    <t>W14/3</t>
  </si>
  <si>
    <t>W14/4</t>
  </si>
  <si>
    <t>W14/5</t>
  </si>
  <si>
    <t>W14/6</t>
  </si>
  <si>
    <t>W14/7</t>
  </si>
  <si>
    <t>W14/8</t>
  </si>
  <si>
    <t>W14/9</t>
  </si>
  <si>
    <t>W14/10</t>
  </si>
  <si>
    <t>W14/11</t>
  </si>
  <si>
    <t>W14/12</t>
  </si>
  <si>
    <t>W14/13</t>
  </si>
  <si>
    <t>W14/14</t>
  </si>
  <si>
    <t>W14/15</t>
  </si>
  <si>
    <t>W14/16</t>
  </si>
  <si>
    <t>W14/17</t>
  </si>
  <si>
    <t>W14/18</t>
  </si>
  <si>
    <t>W14/19</t>
  </si>
  <si>
    <t>W14/20</t>
  </si>
  <si>
    <t>W14/21</t>
  </si>
  <si>
    <t>W14/22</t>
  </si>
  <si>
    <t>W14/23</t>
  </si>
  <si>
    <t>W14/24</t>
  </si>
  <si>
    <t>W14/25</t>
  </si>
  <si>
    <t>W14/26</t>
  </si>
  <si>
    <t>W14/27</t>
  </si>
  <si>
    <t>W14/28</t>
  </si>
  <si>
    <t>W14/29</t>
  </si>
  <si>
    <t>W14/30</t>
  </si>
  <si>
    <t>W14/31</t>
  </si>
  <si>
    <t>W14/32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</si>
</sst>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/>
    <xf numFmtId="0" fontId="0" fillId="0" borderId="0" xfId="0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25CC2-E9BB-41EB-A698-2CA79F43D2BF}">
  <dimension ref="A1:BN99"/>
  <sheetViews>
    <sheetView tabSelected="1" zoomScale="75" zoomScaleNormal="75" workbookViewId="0">
      <selection activeCell="A7" sqref="A7:A104"/>
    </sheetView>
  </sheetViews>
  <sheetFormatPr defaultRowHeight="14.5" x14ac:dyDescent="0.35"/>
  <cols>
    <col min="2" max="55" width="15.6328125" customWidth="1"/>
  </cols>
  <sheetData>
    <row r="1" spans="1:54" x14ac:dyDescent="0.35">
      <c r="A1" s="1" t="s">
        <v>12</v>
      </c>
      <c r="B1" s="1"/>
      <c r="C1" s="1"/>
      <c r="D1" s="1"/>
      <c r="E1" s="1"/>
      <c r="F1" s="2"/>
      <c r="G1" s="11"/>
      <c r="H1" s="2"/>
      <c r="I1" s="2"/>
    </row>
    <row r="2" spans="1:54" x14ac:dyDescent="0.35">
      <c r="A2" s="1" t="s">
        <v>13</v>
      </c>
      <c r="B2" s="1"/>
      <c r="C2" s="1"/>
      <c r="D2" s="1"/>
      <c r="E2" s="1"/>
      <c r="F2" s="2"/>
      <c r="G2" s="11"/>
      <c r="H2" s="2"/>
      <c r="I2" s="2"/>
    </row>
    <row r="3" spans="1:54" x14ac:dyDescent="0.35">
      <c r="A3" s="1" t="s">
        <v>323</v>
      </c>
      <c r="B3" s="1"/>
      <c r="C3" s="1"/>
      <c r="D3" s="1"/>
      <c r="E3" s="1"/>
      <c r="F3" s="2"/>
      <c r="G3" s="11"/>
      <c r="H3" s="2"/>
      <c r="I3" s="2"/>
    </row>
    <row r="4" spans="1:54" x14ac:dyDescent="0.35">
      <c r="A4" s="1" t="s">
        <v>14</v>
      </c>
      <c r="B4" s="1"/>
      <c r="C4" s="1"/>
      <c r="D4" s="1"/>
      <c r="E4" s="1"/>
      <c r="F4" s="2"/>
      <c r="G4" s="11"/>
      <c r="H4" s="2"/>
      <c r="I4" s="2"/>
    </row>
    <row r="5" spans="1:54" x14ac:dyDescent="0.35">
      <c r="A5" s="1" t="s">
        <v>324</v>
      </c>
      <c r="B5" s="1"/>
      <c r="C5" s="1"/>
      <c r="D5" s="1"/>
      <c r="E5" s="1"/>
      <c r="F5" s="2"/>
      <c r="G5" s="11"/>
      <c r="H5" s="2"/>
      <c r="I5" s="2"/>
    </row>
    <row r="6" spans="1:54" x14ac:dyDescent="0.35">
      <c r="G6" s="10"/>
      <c r="H6" s="2"/>
    </row>
    <row r="7" spans="1:54" x14ac:dyDescent="0.35">
      <c r="C7" s="5" t="s">
        <v>3</v>
      </c>
      <c r="D7" s="3"/>
      <c r="E7" s="3"/>
      <c r="F7" s="3"/>
      <c r="G7" s="10"/>
      <c r="H7" s="1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4" ht="29" x14ac:dyDescent="0.35">
      <c r="B8" s="3"/>
      <c r="C8" s="3"/>
      <c r="D8" s="3"/>
      <c r="E8" s="3"/>
      <c r="F8" s="3"/>
      <c r="G8" s="10"/>
      <c r="H8" s="1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 t="s">
        <v>2</v>
      </c>
      <c r="AW8" s="3"/>
      <c r="AX8" s="3"/>
    </row>
    <row r="9" spans="1:54" x14ac:dyDescent="0.35">
      <c r="A9" s="3"/>
      <c r="B9" s="3"/>
      <c r="C9" s="6" t="s">
        <v>0</v>
      </c>
      <c r="D9" s="8"/>
      <c r="E9" s="3"/>
      <c r="F9" s="3"/>
      <c r="G9" s="10"/>
      <c r="H9" s="1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 ht="43.5" x14ac:dyDescent="0.35">
      <c r="A10" s="3" t="s">
        <v>342</v>
      </c>
      <c r="B10" s="3" t="s">
        <v>15</v>
      </c>
      <c r="C10" s="3" t="s">
        <v>16</v>
      </c>
      <c r="D10" s="3" t="s">
        <v>17</v>
      </c>
      <c r="E10" s="3" t="s">
        <v>18</v>
      </c>
      <c r="F10" s="3" t="s">
        <v>19</v>
      </c>
      <c r="G10" s="3" t="s">
        <v>20</v>
      </c>
      <c r="H10" s="3" t="s">
        <v>21</v>
      </c>
      <c r="I10" s="3" t="s">
        <v>22</v>
      </c>
      <c r="J10" s="3" t="s">
        <v>23</v>
      </c>
      <c r="K10" s="3" t="s">
        <v>24</v>
      </c>
      <c r="L10" s="3" t="s">
        <v>25</v>
      </c>
      <c r="M10" s="3" t="s">
        <v>26</v>
      </c>
      <c r="N10" s="3" t="s">
        <v>27</v>
      </c>
      <c r="O10" s="3" t="s">
        <v>28</v>
      </c>
      <c r="P10" s="3" t="s">
        <v>29</v>
      </c>
      <c r="Q10" s="3" t="s">
        <v>30</v>
      </c>
      <c r="R10" s="3" t="s">
        <v>31</v>
      </c>
      <c r="S10" s="3" t="s">
        <v>32</v>
      </c>
      <c r="T10" s="3" t="s">
        <v>33</v>
      </c>
      <c r="U10" s="3" t="s">
        <v>34</v>
      </c>
      <c r="V10" s="3" t="s">
        <v>35</v>
      </c>
      <c r="W10" s="3" t="s">
        <v>36</v>
      </c>
      <c r="X10" s="3" t="s">
        <v>37</v>
      </c>
      <c r="Y10" s="3" t="s">
        <v>38</v>
      </c>
      <c r="Z10" s="3" t="s">
        <v>39</v>
      </c>
      <c r="AA10" s="3" t="s">
        <v>40</v>
      </c>
      <c r="AB10" s="3" t="s">
        <v>41</v>
      </c>
      <c r="AC10" s="3" t="s">
        <v>42</v>
      </c>
      <c r="AD10" s="3" t="s">
        <v>43</v>
      </c>
      <c r="AE10" s="3" t="s">
        <v>44</v>
      </c>
      <c r="AF10" s="3" t="s">
        <v>45</v>
      </c>
      <c r="AG10" s="3" t="s">
        <v>46</v>
      </c>
      <c r="AH10" s="3" t="s">
        <v>47</v>
      </c>
      <c r="AI10" s="3" t="s">
        <v>48</v>
      </c>
      <c r="AJ10" s="3" t="s">
        <v>49</v>
      </c>
      <c r="AK10" s="3" t="s">
        <v>50</v>
      </c>
      <c r="AL10" s="3" t="s">
        <v>51</v>
      </c>
      <c r="AM10" s="3" t="s">
        <v>52</v>
      </c>
      <c r="AN10" s="3" t="s">
        <v>53</v>
      </c>
      <c r="AO10" s="3" t="s">
        <v>54</v>
      </c>
      <c r="AP10" s="3" t="s">
        <v>55</v>
      </c>
      <c r="AQ10" s="3" t="s">
        <v>56</v>
      </c>
      <c r="AR10" s="3" t="s">
        <v>57</v>
      </c>
      <c r="AS10" s="3" t="s">
        <v>58</v>
      </c>
      <c r="AT10" s="3" t="s">
        <v>59</v>
      </c>
      <c r="AU10" s="3"/>
      <c r="AV10" s="3"/>
      <c r="AW10" s="3"/>
      <c r="AX10" s="3"/>
    </row>
    <row r="11" spans="1:54" ht="72.5" x14ac:dyDescent="0.35">
      <c r="A11" s="3" t="s">
        <v>343</v>
      </c>
      <c r="B11" s="3">
        <v>12892</v>
      </c>
      <c r="C11" s="3" t="str">
        <f>"000674313"</f>
        <v>000674313</v>
      </c>
      <c r="D11" s="3" t="str">
        <f>"5661617869"</f>
        <v>5661617869</v>
      </c>
      <c r="E11" s="3" t="s">
        <v>60</v>
      </c>
      <c r="F11" s="3" t="s">
        <v>61</v>
      </c>
      <c r="G11" s="3" t="str">
        <f>"14"</f>
        <v>14</v>
      </c>
      <c r="H11" s="3" t="str">
        <f>"1402"</f>
        <v>1402</v>
      </c>
      <c r="I11" s="3" t="str">
        <f>"1402034"</f>
        <v>1402034</v>
      </c>
      <c r="J11" s="3" t="str">
        <f>"0114620"</f>
        <v>0114620</v>
      </c>
      <c r="K11" s="3" t="str">
        <f>"16511"</f>
        <v>16511</v>
      </c>
      <c r="L11" s="3" t="s">
        <v>62</v>
      </c>
      <c r="M11" s="3" t="s">
        <v>63</v>
      </c>
      <c r="N11" s="3" t="s">
        <v>64</v>
      </c>
      <c r="O11" s="3" t="s">
        <v>65</v>
      </c>
      <c r="P11" s="3" t="s">
        <v>66</v>
      </c>
      <c r="Q11" s="3" t="s">
        <v>67</v>
      </c>
      <c r="R11" s="3" t="str">
        <f>"7"</f>
        <v>7</v>
      </c>
      <c r="S11" s="3" t="str">
        <f>""</f>
        <v/>
      </c>
      <c r="T11" s="3" t="str">
        <f>"06-450"</f>
        <v>06-450</v>
      </c>
      <c r="U11" s="3" t="str">
        <f>"Glinojeck"</f>
        <v>Glinojeck</v>
      </c>
      <c r="V11" s="3" t="str">
        <f>"236740006"</f>
        <v>236740006</v>
      </c>
      <c r="W11" s="3" t="str">
        <f>"236740006"</f>
        <v>236740006</v>
      </c>
      <c r="X11" s="3" t="s">
        <v>68</v>
      </c>
      <c r="Y11" s="3" t="s">
        <v>69</v>
      </c>
      <c r="Z11" s="3" t="s">
        <v>70</v>
      </c>
      <c r="AA11" s="3" t="s">
        <v>71</v>
      </c>
      <c r="AB11" s="3" t="s">
        <v>72</v>
      </c>
      <c r="AC11" s="3" t="s">
        <v>73</v>
      </c>
      <c r="AD11" s="4">
        <v>7183</v>
      </c>
      <c r="AE11" s="4">
        <v>7183</v>
      </c>
      <c r="AF11" s="3"/>
      <c r="AG11" s="3" t="s">
        <v>27</v>
      </c>
      <c r="AH11" s="3" t="s">
        <v>74</v>
      </c>
      <c r="AI11" s="3" t="str">
        <f>"130377882"</f>
        <v>130377882</v>
      </c>
      <c r="AJ11" s="3" t="str">
        <f>""</f>
        <v/>
      </c>
      <c r="AK11" s="3" t="s">
        <v>62</v>
      </c>
      <c r="AL11" s="3" t="s">
        <v>63</v>
      </c>
      <c r="AM11" s="3" t="s">
        <v>64</v>
      </c>
      <c r="AN11" s="3" t="str">
        <f>"samodzielna"</f>
        <v>samodzielna</v>
      </c>
      <c r="AO11" s="3"/>
      <c r="AP11" s="3"/>
      <c r="AQ11" s="3"/>
      <c r="AR11" s="3">
        <v>477</v>
      </c>
      <c r="AS11" s="3" t="s">
        <v>75</v>
      </c>
      <c r="AT11" s="3" t="s">
        <v>76</v>
      </c>
      <c r="AU11" s="3"/>
      <c r="AV11" s="3"/>
      <c r="AW11" s="3"/>
      <c r="AX11" s="3"/>
    </row>
    <row r="12" spans="1:54" ht="130.5" x14ac:dyDescent="0.35">
      <c r="A12" s="7" t="s">
        <v>344</v>
      </c>
      <c r="B12" s="3">
        <v>29139</v>
      </c>
      <c r="C12" s="3" t="str">
        <f>"000692765"</f>
        <v>000692765</v>
      </c>
      <c r="D12" s="3" t="str">
        <f>"5661504119"</f>
        <v>5661504119</v>
      </c>
      <c r="E12" s="3" t="s">
        <v>60</v>
      </c>
      <c r="F12" s="3" t="s">
        <v>78</v>
      </c>
      <c r="G12" s="3" t="str">
        <f>"14"</f>
        <v>14</v>
      </c>
      <c r="H12" s="3" t="str">
        <f>"1402"</f>
        <v>1402</v>
      </c>
      <c r="I12" s="3" t="str">
        <f>"1402011"</f>
        <v>1402011</v>
      </c>
      <c r="J12" s="3" t="str">
        <f>"0930414"</f>
        <v>0930414</v>
      </c>
      <c r="K12" s="3" t="str">
        <f>"16521"</f>
        <v>16521</v>
      </c>
      <c r="L12" s="3" t="s">
        <v>62</v>
      </c>
      <c r="M12" s="3" t="s">
        <v>63</v>
      </c>
      <c r="N12" s="3" t="s">
        <v>79</v>
      </c>
      <c r="O12" s="3" t="s">
        <v>80</v>
      </c>
      <c r="P12" s="3" t="s">
        <v>66</v>
      </c>
      <c r="Q12" s="3" t="s">
        <v>81</v>
      </c>
      <c r="R12" s="3" t="str">
        <f>"143"</f>
        <v>143</v>
      </c>
      <c r="S12" s="3" t="str">
        <f>""</f>
        <v/>
      </c>
      <c r="T12" s="3" t="str">
        <f>"06-400"</f>
        <v>06-400</v>
      </c>
      <c r="U12" s="3" t="str">
        <f>"Ciechanów"</f>
        <v>Ciechanów</v>
      </c>
      <c r="V12" s="3" t="str">
        <f>"236725487"</f>
        <v>236725487</v>
      </c>
      <c r="W12" s="3" t="str">
        <f>"236725487"</f>
        <v>236725487</v>
      </c>
      <c r="X12" s="3" t="s">
        <v>82</v>
      </c>
      <c r="Y12" s="3" t="s">
        <v>83</v>
      </c>
      <c r="Z12" s="3" t="s">
        <v>70</v>
      </c>
      <c r="AA12" s="3" t="s">
        <v>71</v>
      </c>
      <c r="AB12" s="3" t="s">
        <v>72</v>
      </c>
      <c r="AC12" s="3" t="s">
        <v>84</v>
      </c>
      <c r="AD12" s="4">
        <v>28199</v>
      </c>
      <c r="AE12" s="4">
        <v>28199</v>
      </c>
      <c r="AF12" s="3"/>
      <c r="AG12" s="3" t="s">
        <v>27</v>
      </c>
      <c r="AH12" s="3" t="s">
        <v>85</v>
      </c>
      <c r="AI12" s="3" t="str">
        <f>"130377824"</f>
        <v>130377824</v>
      </c>
      <c r="AJ12" s="3" t="str">
        <f>""</f>
        <v/>
      </c>
      <c r="AK12" s="3" t="s">
        <v>62</v>
      </c>
      <c r="AL12" s="3" t="s">
        <v>63</v>
      </c>
      <c r="AM12" s="3" t="s">
        <v>79</v>
      </c>
      <c r="AN12" s="3" t="str">
        <f>"samodzielna"</f>
        <v>samodzielna</v>
      </c>
      <c r="AO12" s="3"/>
      <c r="AP12" s="3"/>
      <c r="AQ12" s="3"/>
      <c r="AR12" s="3">
        <v>733</v>
      </c>
      <c r="AS12" s="3"/>
      <c r="AT12" s="3" t="s">
        <v>86</v>
      </c>
      <c r="AU12" s="3"/>
      <c r="AV12" s="3"/>
      <c r="AW12" s="3"/>
      <c r="AX12" s="3"/>
    </row>
    <row r="13" spans="1:54" x14ac:dyDescent="0.35">
      <c r="A13" s="3"/>
      <c r="B13" s="3"/>
      <c r="C13" s="6" t="s">
        <v>1</v>
      </c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ht="72.5" x14ac:dyDescent="0.35">
      <c r="A14" s="3" t="s">
        <v>345</v>
      </c>
      <c r="B14" s="3">
        <v>12444</v>
      </c>
      <c r="C14" s="3" t="str">
        <f>"130915664"</f>
        <v>130915664</v>
      </c>
      <c r="D14" s="3" t="str">
        <f>""</f>
        <v/>
      </c>
      <c r="E14" s="3" t="s">
        <v>218</v>
      </c>
      <c r="F14" s="3" t="s">
        <v>219</v>
      </c>
      <c r="G14" s="3" t="str">
        <f>"14"</f>
        <v>14</v>
      </c>
      <c r="H14" s="3" t="str">
        <f>"1402"</f>
        <v>1402</v>
      </c>
      <c r="I14" s="3" t="str">
        <f>"1402011"</f>
        <v>1402011</v>
      </c>
      <c r="J14" s="3" t="str">
        <f>"0930414"</f>
        <v>0930414</v>
      </c>
      <c r="K14" s="3" t="str">
        <f>"15199"</f>
        <v>15199</v>
      </c>
      <c r="L14" s="3" t="s">
        <v>62</v>
      </c>
      <c r="M14" s="3" t="s">
        <v>63</v>
      </c>
      <c r="N14" s="3" t="s">
        <v>79</v>
      </c>
      <c r="O14" s="3" t="s">
        <v>80</v>
      </c>
      <c r="P14" s="3" t="s">
        <v>66</v>
      </c>
      <c r="Q14" s="3" t="s">
        <v>220</v>
      </c>
      <c r="R14" s="3" t="str">
        <f>"9"</f>
        <v>9</v>
      </c>
      <c r="S14" s="3" t="str">
        <f>""</f>
        <v/>
      </c>
      <c r="T14" s="3" t="str">
        <f>"06-400"</f>
        <v>06-400</v>
      </c>
      <c r="U14" s="3" t="str">
        <f>"Ciechanów"</f>
        <v>Ciechanów</v>
      </c>
      <c r="V14" s="3" t="str">
        <f>"236723448"</f>
        <v>236723448</v>
      </c>
      <c r="W14" s="3" t="str">
        <f>"236723857"</f>
        <v>236723857</v>
      </c>
      <c r="X14" s="3" t="s">
        <v>221</v>
      </c>
      <c r="Y14" s="3" t="s">
        <v>154</v>
      </c>
      <c r="Z14" s="3" t="s">
        <v>70</v>
      </c>
      <c r="AA14" s="3" t="s">
        <v>71</v>
      </c>
      <c r="AB14" s="3" t="s">
        <v>72</v>
      </c>
      <c r="AC14" s="3"/>
      <c r="AD14" s="4">
        <v>37500</v>
      </c>
      <c r="AE14" s="4">
        <v>37500</v>
      </c>
      <c r="AF14" s="3"/>
      <c r="AG14" s="3" t="s">
        <v>222</v>
      </c>
      <c r="AH14" s="3" t="s">
        <v>223</v>
      </c>
      <c r="AI14" s="3" t="str">
        <f>"130377706"</f>
        <v>130377706</v>
      </c>
      <c r="AJ14" s="3" t="str">
        <f>""</f>
        <v/>
      </c>
      <c r="AK14" s="3" t="s">
        <v>62</v>
      </c>
      <c r="AL14" s="3" t="s">
        <v>63</v>
      </c>
      <c r="AM14" s="3" t="s">
        <v>79</v>
      </c>
      <c r="AN14" s="3" t="str">
        <f>"szkoła/placówka w zespole"</f>
        <v>szkoła/placówka w zespole</v>
      </c>
      <c r="AO14" s="3">
        <v>4199</v>
      </c>
      <c r="AP14" s="3" t="s">
        <v>98</v>
      </c>
      <c r="AQ14" s="3" t="s">
        <v>224</v>
      </c>
      <c r="AR14" s="3">
        <v>473</v>
      </c>
      <c r="AS14" s="3"/>
      <c r="AT14" s="3" t="s">
        <v>225</v>
      </c>
      <c r="AU14" s="3"/>
      <c r="AV14" s="3"/>
      <c r="AW14" s="3"/>
      <c r="AX14" s="3"/>
    </row>
    <row r="15" spans="1:54" ht="72.5" x14ac:dyDescent="0.35">
      <c r="A15" s="7" t="s">
        <v>346</v>
      </c>
      <c r="B15" s="3">
        <v>12442</v>
      </c>
      <c r="C15" s="3" t="str">
        <f>"130915693"</f>
        <v>130915693</v>
      </c>
      <c r="D15" s="3" t="str">
        <f>""</f>
        <v/>
      </c>
      <c r="E15" s="3" t="s">
        <v>269</v>
      </c>
      <c r="F15" s="3" t="s">
        <v>270</v>
      </c>
      <c r="G15" s="3" t="str">
        <f>"14"</f>
        <v>14</v>
      </c>
      <c r="H15" s="3" t="str">
        <f>"1402"</f>
        <v>1402</v>
      </c>
      <c r="I15" s="3" t="str">
        <f>"1402011"</f>
        <v>1402011</v>
      </c>
      <c r="J15" s="3" t="str">
        <f>"0930414"</f>
        <v>0930414</v>
      </c>
      <c r="K15" s="3" t="str">
        <f>"15199"</f>
        <v>15199</v>
      </c>
      <c r="L15" s="3" t="s">
        <v>62</v>
      </c>
      <c r="M15" s="3" t="s">
        <v>63</v>
      </c>
      <c r="N15" s="3" t="s">
        <v>79</v>
      </c>
      <c r="O15" s="3" t="s">
        <v>80</v>
      </c>
      <c r="P15" s="3" t="s">
        <v>66</v>
      </c>
      <c r="Q15" s="3" t="s">
        <v>220</v>
      </c>
      <c r="R15" s="3" t="str">
        <f>"9"</f>
        <v>9</v>
      </c>
      <c r="S15" s="3" t="str">
        <f>""</f>
        <v/>
      </c>
      <c r="T15" s="3" t="str">
        <f>"06-400"</f>
        <v>06-400</v>
      </c>
      <c r="U15" s="3" t="str">
        <f>"Ciechanów"</f>
        <v>Ciechanów</v>
      </c>
      <c r="V15" s="3" t="str">
        <f>"236723448"</f>
        <v>236723448</v>
      </c>
      <c r="W15" s="3" t="str">
        <f>"236723857"</f>
        <v>236723857</v>
      </c>
      <c r="X15" s="3" t="s">
        <v>221</v>
      </c>
      <c r="Y15" s="3" t="s">
        <v>154</v>
      </c>
      <c r="Z15" s="3" t="s">
        <v>70</v>
      </c>
      <c r="AA15" s="3" t="s">
        <v>71</v>
      </c>
      <c r="AB15" s="3" t="s">
        <v>72</v>
      </c>
      <c r="AC15" s="3"/>
      <c r="AD15" s="4">
        <v>37500</v>
      </c>
      <c r="AE15" s="4">
        <v>37500</v>
      </c>
      <c r="AF15" s="3"/>
      <c r="AG15" s="3" t="s">
        <v>222</v>
      </c>
      <c r="AH15" s="3" t="s">
        <v>223</v>
      </c>
      <c r="AI15" s="3" t="str">
        <f>"130377706"</f>
        <v>130377706</v>
      </c>
      <c r="AJ15" s="3" t="str">
        <f>""</f>
        <v/>
      </c>
      <c r="AK15" s="3" t="s">
        <v>62</v>
      </c>
      <c r="AL15" s="3" t="s">
        <v>63</v>
      </c>
      <c r="AM15" s="3" t="s">
        <v>79</v>
      </c>
      <c r="AN15" s="3" t="str">
        <f>"szkoła/placówka w zespole"</f>
        <v>szkoła/placówka w zespole</v>
      </c>
      <c r="AO15" s="3">
        <v>4199</v>
      </c>
      <c r="AP15" s="3" t="s">
        <v>98</v>
      </c>
      <c r="AQ15" s="3" t="s">
        <v>224</v>
      </c>
      <c r="AR15" s="3">
        <v>557</v>
      </c>
      <c r="AS15" s="3"/>
      <c r="AT15" s="3" t="s">
        <v>225</v>
      </c>
      <c r="AU15" s="3"/>
      <c r="AV15" s="3"/>
      <c r="AW15" s="3"/>
      <c r="AX15" s="3"/>
    </row>
    <row r="16" spans="1:54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4"/>
      <c r="AE16" s="4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66" x14ac:dyDescent="0.35">
      <c r="A17" s="3"/>
      <c r="B17" s="3"/>
      <c r="C17" s="5" t="s">
        <v>77</v>
      </c>
      <c r="D17" s="8"/>
      <c r="E17" s="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66" x14ac:dyDescent="0.35">
      <c r="A18" s="3"/>
      <c r="B18" s="3"/>
      <c r="C18" s="8"/>
      <c r="D18" s="8"/>
      <c r="E18" s="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66" x14ac:dyDescent="0.35">
      <c r="A19" s="3"/>
      <c r="B19" s="3"/>
      <c r="C19" s="6" t="s">
        <v>0</v>
      </c>
      <c r="D19" s="8"/>
      <c r="E19" s="8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66" ht="43.5" x14ac:dyDescent="0.35">
      <c r="A20" s="3" t="s">
        <v>342</v>
      </c>
      <c r="B20" s="3" t="s">
        <v>15</v>
      </c>
      <c r="C20" s="3" t="s">
        <v>16</v>
      </c>
      <c r="D20" s="3" t="s">
        <v>17</v>
      </c>
      <c r="E20" s="3" t="s">
        <v>18</v>
      </c>
      <c r="F20" s="3" t="s">
        <v>19</v>
      </c>
      <c r="G20" s="3" t="s">
        <v>20</v>
      </c>
      <c r="H20" s="3" t="s">
        <v>21</v>
      </c>
      <c r="I20" s="3" t="s">
        <v>22</v>
      </c>
      <c r="J20" s="3" t="s">
        <v>23</v>
      </c>
      <c r="K20" s="3" t="s">
        <v>24</v>
      </c>
      <c r="L20" s="3" t="s">
        <v>25</v>
      </c>
      <c r="M20" s="3" t="s">
        <v>26</v>
      </c>
      <c r="N20" s="3" t="s">
        <v>27</v>
      </c>
      <c r="O20" s="3" t="s">
        <v>28</v>
      </c>
      <c r="P20" s="3" t="s">
        <v>29</v>
      </c>
      <c r="Q20" s="3" t="s">
        <v>30</v>
      </c>
      <c r="R20" s="3" t="s">
        <v>31</v>
      </c>
      <c r="S20" s="3" t="s">
        <v>32</v>
      </c>
      <c r="T20" s="3" t="s">
        <v>33</v>
      </c>
      <c r="U20" s="3" t="s">
        <v>34</v>
      </c>
      <c r="V20" s="3" t="s">
        <v>35</v>
      </c>
      <c r="W20" s="3" t="s">
        <v>36</v>
      </c>
      <c r="X20" s="3" t="s">
        <v>37</v>
      </c>
      <c r="Y20" s="3" t="s">
        <v>38</v>
      </c>
      <c r="Z20" s="3" t="s">
        <v>39</v>
      </c>
      <c r="AA20" s="3" t="s">
        <v>40</v>
      </c>
      <c r="AB20" s="3" t="s">
        <v>41</v>
      </c>
      <c r="AC20" s="3" t="s">
        <v>42</v>
      </c>
      <c r="AD20" s="3" t="s">
        <v>43</v>
      </c>
      <c r="AE20" s="3" t="s">
        <v>44</v>
      </c>
      <c r="AF20" s="3" t="s">
        <v>45</v>
      </c>
      <c r="AG20" s="3" t="s">
        <v>46</v>
      </c>
      <c r="AH20" s="3" t="s">
        <v>47</v>
      </c>
      <c r="AI20" s="3" t="s">
        <v>48</v>
      </c>
      <c r="AJ20" s="3" t="s">
        <v>49</v>
      </c>
      <c r="AK20" s="3" t="s">
        <v>50</v>
      </c>
      <c r="AL20" s="3" t="s">
        <v>51</v>
      </c>
      <c r="AM20" s="3" t="s">
        <v>52</v>
      </c>
      <c r="AN20" s="3" t="s">
        <v>53</v>
      </c>
      <c r="AO20" s="3" t="s">
        <v>54</v>
      </c>
      <c r="AP20" s="3" t="s">
        <v>55</v>
      </c>
      <c r="AQ20" s="3" t="s">
        <v>56</v>
      </c>
      <c r="AR20" s="3" t="s">
        <v>57</v>
      </c>
      <c r="AS20" s="3" t="s">
        <v>58</v>
      </c>
      <c r="AT20" s="3" t="s">
        <v>59</v>
      </c>
      <c r="AU20" s="3"/>
      <c r="AV20" s="3"/>
      <c r="AW20" s="3"/>
      <c r="AX20" s="3"/>
    </row>
    <row r="21" spans="1:66" ht="87" x14ac:dyDescent="0.35">
      <c r="A21" s="7" t="s">
        <v>347</v>
      </c>
      <c r="B21" s="3">
        <v>87267</v>
      </c>
      <c r="C21" s="3" t="str">
        <f>"000836939"</f>
        <v>000836939</v>
      </c>
      <c r="D21" s="3" t="str">
        <f>"7971845755"</f>
        <v>7971845755</v>
      </c>
      <c r="E21" s="3" t="s">
        <v>60</v>
      </c>
      <c r="F21" s="3" t="s">
        <v>187</v>
      </c>
      <c r="G21" s="3" t="str">
        <f>"14"</f>
        <v>14</v>
      </c>
      <c r="H21" s="3" t="str">
        <f>"1406"</f>
        <v>1406</v>
      </c>
      <c r="I21" s="3" t="str">
        <f>"1406084"</f>
        <v>1406084</v>
      </c>
      <c r="J21" s="3" t="str">
        <f>"0973725"</f>
        <v>0973725</v>
      </c>
      <c r="K21" s="3" t="str">
        <f>"21970"</f>
        <v>21970</v>
      </c>
      <c r="L21" s="3" t="s">
        <v>62</v>
      </c>
      <c r="M21" s="3" t="s">
        <v>188</v>
      </c>
      <c r="N21" s="3" t="s">
        <v>189</v>
      </c>
      <c r="O21" s="3" t="s">
        <v>190</v>
      </c>
      <c r="P21" s="3" t="s">
        <v>66</v>
      </c>
      <c r="Q21" s="3" t="s">
        <v>191</v>
      </c>
      <c r="R21" s="3" t="str">
        <f>"4"</f>
        <v>4</v>
      </c>
      <c r="S21" s="3" t="str">
        <f>""</f>
        <v/>
      </c>
      <c r="T21" s="3" t="str">
        <f>"26-420"</f>
        <v>26-420</v>
      </c>
      <c r="U21" s="3" t="str">
        <f>"Nowe Miasto nad Pilicą"</f>
        <v>Nowe Miasto nad Pilicą</v>
      </c>
      <c r="V21" s="3" t="str">
        <f>"486741221"</f>
        <v>486741221</v>
      </c>
      <c r="W21" s="3" t="str">
        <f>"486741221"</f>
        <v>486741221</v>
      </c>
      <c r="X21" s="3" t="s">
        <v>192</v>
      </c>
      <c r="Y21" s="3" t="s">
        <v>193</v>
      </c>
      <c r="Z21" s="3" t="s">
        <v>70</v>
      </c>
      <c r="AA21" s="3" t="s">
        <v>71</v>
      </c>
      <c r="AB21" s="3" t="s">
        <v>72</v>
      </c>
      <c r="AC21" s="3" t="s">
        <v>194</v>
      </c>
      <c r="AD21" s="4">
        <v>25077</v>
      </c>
      <c r="AE21" s="4">
        <v>25082</v>
      </c>
      <c r="AF21" s="3"/>
      <c r="AG21" s="3" t="s">
        <v>27</v>
      </c>
      <c r="AH21" s="3" t="s">
        <v>195</v>
      </c>
      <c r="AI21" s="3" t="str">
        <f>"670223362"</f>
        <v>670223362</v>
      </c>
      <c r="AJ21" s="3" t="str">
        <f>""</f>
        <v/>
      </c>
      <c r="AK21" s="3" t="s">
        <v>62</v>
      </c>
      <c r="AL21" s="3" t="s">
        <v>188</v>
      </c>
      <c r="AM21" s="3" t="s">
        <v>189</v>
      </c>
      <c r="AN21" s="3" t="str">
        <f>"samodzielna"</f>
        <v>samodzielna</v>
      </c>
      <c r="AO21" s="3"/>
      <c r="AP21" s="3"/>
      <c r="AQ21" s="3"/>
      <c r="AR21" s="3">
        <v>245</v>
      </c>
      <c r="AS21" s="3"/>
      <c r="AT21" s="3" t="s">
        <v>100</v>
      </c>
      <c r="AU21" s="3"/>
      <c r="AV21" s="3"/>
      <c r="AW21" s="3"/>
      <c r="AX21" s="3"/>
    </row>
    <row r="22" spans="1:66" x14ac:dyDescent="0.35">
      <c r="A22" s="3"/>
      <c r="B22" s="3"/>
      <c r="C22" s="6" t="s">
        <v>1</v>
      </c>
      <c r="D22" s="8"/>
      <c r="E22" s="8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66" ht="58" x14ac:dyDescent="0.35">
      <c r="A23" s="3" t="s">
        <v>348</v>
      </c>
      <c r="B23" s="3">
        <v>88624</v>
      </c>
      <c r="C23" s="3" t="str">
        <f>"673009072"</f>
        <v>673009072</v>
      </c>
      <c r="D23" s="3" t="str">
        <f>""</f>
        <v/>
      </c>
      <c r="E23" s="3" t="s">
        <v>218</v>
      </c>
      <c r="F23" s="3" t="s">
        <v>226</v>
      </c>
      <c r="G23" s="3" t="str">
        <f>"14"</f>
        <v>14</v>
      </c>
      <c r="H23" s="3" t="str">
        <f>"1406"</f>
        <v>1406</v>
      </c>
      <c r="I23" s="3" t="str">
        <f>"1406062"</f>
        <v>1406062</v>
      </c>
      <c r="J23" s="3" t="str">
        <f>"0623681"</f>
        <v>0623681</v>
      </c>
      <c r="K23" s="3" t="str">
        <f>"03403"</f>
        <v>03403</v>
      </c>
      <c r="L23" s="3" t="s">
        <v>62</v>
      </c>
      <c r="M23" s="3" t="s">
        <v>188</v>
      </c>
      <c r="N23" s="3" t="s">
        <v>227</v>
      </c>
      <c r="O23" s="3" t="s">
        <v>228</v>
      </c>
      <c r="P23" s="3" t="s">
        <v>133</v>
      </c>
      <c r="Q23" s="3" t="s">
        <v>229</v>
      </c>
      <c r="R23" s="3" t="str">
        <f>"1"</f>
        <v>1</v>
      </c>
      <c r="S23" s="3" t="str">
        <f>""</f>
        <v/>
      </c>
      <c r="T23" s="3" t="str">
        <f>"05-604"</f>
        <v>05-604</v>
      </c>
      <c r="U23" s="3" t="str">
        <f>"Jasieniec"</f>
        <v>Jasieniec</v>
      </c>
      <c r="V23" s="3" t="str">
        <f>"486613588"</f>
        <v>486613588</v>
      </c>
      <c r="W23" s="3" t="str">
        <f>""</f>
        <v/>
      </c>
      <c r="X23" s="3" t="s">
        <v>230</v>
      </c>
      <c r="Y23" s="3" t="s">
        <v>231</v>
      </c>
      <c r="Z23" s="3" t="s">
        <v>70</v>
      </c>
      <c r="AA23" s="3" t="s">
        <v>71</v>
      </c>
      <c r="AB23" s="3" t="s">
        <v>72</v>
      </c>
      <c r="AC23" s="3"/>
      <c r="AD23" s="4">
        <v>34933</v>
      </c>
      <c r="AE23" s="4">
        <v>34943</v>
      </c>
      <c r="AF23" s="3"/>
      <c r="AG23" s="3" t="s">
        <v>222</v>
      </c>
      <c r="AH23" s="3" t="s">
        <v>232</v>
      </c>
      <c r="AI23" s="3" t="str">
        <f>"670223149"</f>
        <v>670223149</v>
      </c>
      <c r="AJ23" s="3" t="str">
        <f>""</f>
        <v/>
      </c>
      <c r="AK23" s="3" t="s">
        <v>62</v>
      </c>
      <c r="AL23" s="3" t="s">
        <v>188</v>
      </c>
      <c r="AM23" s="3" t="s">
        <v>233</v>
      </c>
      <c r="AN23" s="3" t="str">
        <f>"szkoła/placówka w zespole"</f>
        <v>szkoła/placówka w zespole</v>
      </c>
      <c r="AO23" s="3">
        <v>52533</v>
      </c>
      <c r="AP23" s="3" t="s">
        <v>98</v>
      </c>
      <c r="AQ23" s="3" t="s">
        <v>234</v>
      </c>
      <c r="AR23" s="3">
        <v>405</v>
      </c>
      <c r="AS23" s="3"/>
      <c r="AT23" s="3" t="s">
        <v>100</v>
      </c>
      <c r="AU23" s="3"/>
      <c r="AV23" s="3"/>
      <c r="AW23" s="3"/>
      <c r="AX23" s="3"/>
    </row>
    <row r="24" spans="1:66" ht="101.5" x14ac:dyDescent="0.35">
      <c r="A24" s="3" t="s">
        <v>349</v>
      </c>
      <c r="B24" s="3">
        <v>42433</v>
      </c>
      <c r="C24" s="3" t="str">
        <f>"000259880"</f>
        <v>000259880</v>
      </c>
      <c r="D24" s="3" t="str">
        <f>"7971321590"</f>
        <v>7971321590</v>
      </c>
      <c r="E24" s="3" t="s">
        <v>269</v>
      </c>
      <c r="F24" s="3" t="s">
        <v>325</v>
      </c>
      <c r="G24" s="3" t="str">
        <f>"14"</f>
        <v>14</v>
      </c>
      <c r="H24" s="3" t="str">
        <f>"1406"</f>
        <v>1406</v>
      </c>
      <c r="I24" s="3" t="str">
        <f>"1406114"</f>
        <v>1406114</v>
      </c>
      <c r="J24" s="3" t="str">
        <f>"0973978"</f>
        <v>0973978</v>
      </c>
      <c r="K24" s="3" t="str">
        <f>"23682"</f>
        <v>23682</v>
      </c>
      <c r="L24" s="3" t="s">
        <v>62</v>
      </c>
      <c r="M24" s="3" t="s">
        <v>188</v>
      </c>
      <c r="N24" s="3" t="s">
        <v>326</v>
      </c>
      <c r="O24" s="3" t="s">
        <v>327</v>
      </c>
      <c r="P24" s="3" t="s">
        <v>66</v>
      </c>
      <c r="Q24" s="3" t="s">
        <v>328</v>
      </c>
      <c r="R24" s="3" t="str">
        <f>"45"</f>
        <v>45</v>
      </c>
      <c r="S24" s="3" t="str">
        <f>""</f>
        <v/>
      </c>
      <c r="T24" s="3" t="str">
        <f>"05-660"</f>
        <v>05-660</v>
      </c>
      <c r="U24" s="3" t="str">
        <f>"Warka"</f>
        <v>Warka</v>
      </c>
      <c r="V24" s="3" t="str">
        <f>"486672326"</f>
        <v>486672326</v>
      </c>
      <c r="W24" s="3" t="str">
        <f>"486673623"</f>
        <v>486673623</v>
      </c>
      <c r="X24" s="3" t="s">
        <v>329</v>
      </c>
      <c r="Y24" s="3" t="s">
        <v>330</v>
      </c>
      <c r="Z24" s="3" t="s">
        <v>70</v>
      </c>
      <c r="AA24" s="3" t="s">
        <v>71</v>
      </c>
      <c r="AB24" s="3" t="s">
        <v>72</v>
      </c>
      <c r="AC24" s="3" t="s">
        <v>331</v>
      </c>
      <c r="AD24" s="4">
        <v>18308</v>
      </c>
      <c r="AE24" s="4">
        <v>18507</v>
      </c>
      <c r="AF24" s="3"/>
      <c r="AG24" s="3" t="s">
        <v>222</v>
      </c>
      <c r="AH24" s="3" t="s">
        <v>232</v>
      </c>
      <c r="AI24" s="3" t="str">
        <f>"670223149"</f>
        <v>670223149</v>
      </c>
      <c r="AJ24" s="3" t="str">
        <f>""</f>
        <v/>
      </c>
      <c r="AK24" s="3" t="s">
        <v>62</v>
      </c>
      <c r="AL24" s="3" t="s">
        <v>188</v>
      </c>
      <c r="AM24" s="3" t="s">
        <v>233</v>
      </c>
      <c r="AN24" s="3" t="str">
        <f>"samodzielna"</f>
        <v>samodzielna</v>
      </c>
      <c r="AO24" s="3"/>
      <c r="AP24" s="3"/>
      <c r="AQ24" s="3"/>
      <c r="AR24" s="3">
        <v>211</v>
      </c>
      <c r="AS24" s="3" t="s">
        <v>332</v>
      </c>
      <c r="AT24" s="3" t="s">
        <v>241</v>
      </c>
      <c r="AU24" s="3"/>
      <c r="AV24" s="3"/>
      <c r="AW24" s="3"/>
      <c r="AX24" s="3"/>
    </row>
    <row r="25" spans="1:66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4"/>
      <c r="AE25" s="4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66" x14ac:dyDescent="0.35">
      <c r="A26" s="3"/>
      <c r="B26" s="3"/>
      <c r="C26" s="5" t="s">
        <v>4</v>
      </c>
      <c r="D26" s="8"/>
      <c r="E26" s="8"/>
      <c r="F26" s="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66" x14ac:dyDescent="0.35">
      <c r="A27" s="3"/>
      <c r="B27" s="3"/>
      <c r="C27" s="8"/>
      <c r="D27" s="8"/>
      <c r="E27" s="8"/>
      <c r="F27" s="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66" s="3" customFormat="1" x14ac:dyDescent="0.35">
      <c r="C28" s="6" t="s">
        <v>0</v>
      </c>
      <c r="D28" s="8"/>
      <c r="E28" s="8"/>
      <c r="F28" s="8"/>
    </row>
    <row r="29" spans="1:66" s="3" customFormat="1" ht="43.5" x14ac:dyDescent="0.35">
      <c r="A29" s="3" t="s">
        <v>342</v>
      </c>
      <c r="B29" s="3" t="s">
        <v>15</v>
      </c>
      <c r="C29" s="3" t="s">
        <v>16</v>
      </c>
      <c r="D29" s="3" t="s">
        <v>17</v>
      </c>
      <c r="E29" s="3" t="s">
        <v>18</v>
      </c>
      <c r="F29" s="3" t="s">
        <v>19</v>
      </c>
      <c r="G29" s="3" t="s">
        <v>20</v>
      </c>
      <c r="H29" s="3" t="s">
        <v>21</v>
      </c>
      <c r="I29" s="3" t="s">
        <v>22</v>
      </c>
      <c r="J29" s="3" t="s">
        <v>23</v>
      </c>
      <c r="K29" s="3" t="s">
        <v>24</v>
      </c>
      <c r="L29" s="3" t="s">
        <v>25</v>
      </c>
      <c r="M29" s="3" t="s">
        <v>26</v>
      </c>
      <c r="N29" s="3" t="s">
        <v>27</v>
      </c>
      <c r="O29" s="3" t="s">
        <v>28</v>
      </c>
      <c r="P29" s="3" t="s">
        <v>29</v>
      </c>
      <c r="Q29" s="3" t="s">
        <v>30</v>
      </c>
      <c r="R29" s="3" t="s">
        <v>31</v>
      </c>
      <c r="S29" s="3" t="s">
        <v>32</v>
      </c>
      <c r="T29" s="3" t="s">
        <v>33</v>
      </c>
      <c r="U29" s="3" t="s">
        <v>34</v>
      </c>
      <c r="V29" s="3" t="s">
        <v>35</v>
      </c>
      <c r="W29" s="3" t="s">
        <v>36</v>
      </c>
      <c r="X29" s="3" t="s">
        <v>37</v>
      </c>
      <c r="Y29" s="3" t="s">
        <v>38</v>
      </c>
      <c r="Z29" s="3" t="s">
        <v>39</v>
      </c>
      <c r="AA29" s="3" t="s">
        <v>40</v>
      </c>
      <c r="AB29" s="3" t="s">
        <v>41</v>
      </c>
      <c r="AC29" s="3" t="s">
        <v>42</v>
      </c>
      <c r="AD29" s="3" t="s">
        <v>43</v>
      </c>
      <c r="AE29" s="3" t="s">
        <v>44</v>
      </c>
      <c r="AF29" s="3" t="s">
        <v>45</v>
      </c>
      <c r="AG29" s="3" t="s">
        <v>46</v>
      </c>
      <c r="AH29" s="3" t="s">
        <v>47</v>
      </c>
      <c r="AI29" s="3" t="s">
        <v>48</v>
      </c>
      <c r="AJ29" s="3" t="s">
        <v>49</v>
      </c>
      <c r="AK29" s="3" t="s">
        <v>50</v>
      </c>
      <c r="AL29" s="3" t="s">
        <v>51</v>
      </c>
      <c r="AM29" s="3" t="s">
        <v>52</v>
      </c>
      <c r="AN29" s="3" t="s">
        <v>53</v>
      </c>
      <c r="AO29" s="3" t="s">
        <v>54</v>
      </c>
      <c r="AP29" s="3" t="s">
        <v>55</v>
      </c>
      <c r="AQ29" s="3" t="s">
        <v>56</v>
      </c>
      <c r="AR29" s="3" t="s">
        <v>57</v>
      </c>
      <c r="AS29" s="3" t="s">
        <v>58</v>
      </c>
      <c r="AT29" s="3" t="s">
        <v>59</v>
      </c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</row>
    <row r="30" spans="1:66" s="3" customFormat="1" ht="72.5" x14ac:dyDescent="0.35">
      <c r="A30" s="7" t="s">
        <v>350</v>
      </c>
      <c r="B30" s="3">
        <v>93122</v>
      </c>
      <c r="C30" s="3" t="str">
        <f>"000800189"</f>
        <v>000800189</v>
      </c>
      <c r="D30" s="3" t="str">
        <f>""</f>
        <v/>
      </c>
      <c r="E30" s="3" t="s">
        <v>60</v>
      </c>
      <c r="F30" s="3" t="s">
        <v>196</v>
      </c>
      <c r="G30" s="3" t="str">
        <f>"14"</f>
        <v>14</v>
      </c>
      <c r="H30" s="3" t="str">
        <f>"1405"</f>
        <v>1405</v>
      </c>
      <c r="I30" s="3" t="str">
        <f>"1405021"</f>
        <v>1405021</v>
      </c>
      <c r="J30" s="3" t="str">
        <f>"0921504"</f>
        <v>0921504</v>
      </c>
      <c r="K30" s="3" t="str">
        <f>"07123"</f>
        <v>07123</v>
      </c>
      <c r="L30" s="3" t="s">
        <v>62</v>
      </c>
      <c r="M30" s="3" t="s">
        <v>197</v>
      </c>
      <c r="N30" s="3" t="s">
        <v>198</v>
      </c>
      <c r="O30" s="3" t="s">
        <v>199</v>
      </c>
      <c r="P30" s="3" t="s">
        <v>66</v>
      </c>
      <c r="Q30" s="3" t="s">
        <v>200</v>
      </c>
      <c r="R30" s="3" t="str">
        <f>"20"</f>
        <v>20</v>
      </c>
      <c r="S30" s="3" t="str">
        <f>""</f>
        <v/>
      </c>
      <c r="T30" s="3" t="str">
        <f>"05-807"</f>
        <v>05-807</v>
      </c>
      <c r="U30" s="3" t="str">
        <f>"Podkowa Leśna"</f>
        <v>Podkowa Leśna</v>
      </c>
      <c r="V30" s="3" t="str">
        <f>"227589567"</f>
        <v>227589567</v>
      </c>
      <c r="W30" s="3" t="str">
        <f>""</f>
        <v/>
      </c>
      <c r="X30" s="3" t="s">
        <v>201</v>
      </c>
      <c r="Y30" s="3" t="s">
        <v>202</v>
      </c>
      <c r="Z30" s="3" t="s">
        <v>70</v>
      </c>
      <c r="AA30" s="3" t="s">
        <v>71</v>
      </c>
      <c r="AB30" s="3" t="s">
        <v>72</v>
      </c>
      <c r="AC30" s="3" t="s">
        <v>203</v>
      </c>
      <c r="AD30" s="4">
        <v>19968</v>
      </c>
      <c r="AE30" s="4">
        <v>19968</v>
      </c>
      <c r="AG30" s="3" t="s">
        <v>27</v>
      </c>
      <c r="AH30" s="3" t="s">
        <v>204</v>
      </c>
      <c r="AI30" s="3" t="str">
        <f>"013269338"</f>
        <v>013269338</v>
      </c>
      <c r="AJ30" s="3" t="str">
        <f>""</f>
        <v/>
      </c>
      <c r="AK30" s="3" t="s">
        <v>62</v>
      </c>
      <c r="AL30" s="3" t="s">
        <v>197</v>
      </c>
      <c r="AM30" s="3" t="s">
        <v>198</v>
      </c>
      <c r="AN30" s="3" t="str">
        <f>"samodzielna"</f>
        <v>samodzielna</v>
      </c>
      <c r="AR30" s="3">
        <v>407</v>
      </c>
      <c r="AS30" s="3" t="s">
        <v>205</v>
      </c>
      <c r="AT30" s="3" t="s">
        <v>101</v>
      </c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</row>
    <row r="31" spans="1:66" s="3" customFormat="1" x14ac:dyDescent="0.35">
      <c r="C31" s="6" t="s">
        <v>1</v>
      </c>
      <c r="D31" s="8"/>
    </row>
    <row r="32" spans="1:66" ht="72.5" x14ac:dyDescent="0.35">
      <c r="A32" s="3" t="s">
        <v>351</v>
      </c>
      <c r="B32" s="3">
        <v>68380</v>
      </c>
      <c r="C32" s="3" t="str">
        <f>"015891349"</f>
        <v>015891349</v>
      </c>
      <c r="D32" s="3" t="str">
        <f>"5291187401"</f>
        <v>5291187401</v>
      </c>
      <c r="E32" s="3" t="s">
        <v>269</v>
      </c>
      <c r="F32" s="3" t="s">
        <v>271</v>
      </c>
      <c r="G32" s="3" t="str">
        <f>"14"</f>
        <v>14</v>
      </c>
      <c r="H32" s="3" t="str">
        <f>"1405"</f>
        <v>1405</v>
      </c>
      <c r="I32" s="3" t="str">
        <f>"1405044"</f>
        <v>1405044</v>
      </c>
      <c r="J32" s="3" t="str">
        <f>"0920380"</f>
        <v>0920380</v>
      </c>
      <c r="K32" s="3" t="str">
        <f>"26608"</f>
        <v>26608</v>
      </c>
      <c r="L32" s="3" t="s">
        <v>62</v>
      </c>
      <c r="M32" s="3" t="s">
        <v>197</v>
      </c>
      <c r="N32" s="3" t="s">
        <v>272</v>
      </c>
      <c r="O32" s="3" t="s">
        <v>273</v>
      </c>
      <c r="P32" s="3" t="s">
        <v>66</v>
      </c>
      <c r="Q32" s="3" t="s">
        <v>274</v>
      </c>
      <c r="R32" s="3" t="str">
        <f>"4"</f>
        <v>4</v>
      </c>
      <c r="S32" s="3" t="str">
        <f>""</f>
        <v/>
      </c>
      <c r="T32" s="3" t="str">
        <f>"05-825"</f>
        <v>05-825</v>
      </c>
      <c r="U32" s="3" t="str">
        <f>"Grodzisk Mazowiecki"</f>
        <v>Grodzisk Mazowiecki</v>
      </c>
      <c r="V32" s="3" t="str">
        <f>"227345951"</f>
        <v>227345951</v>
      </c>
      <c r="W32" s="3" t="str">
        <f>"227345960"</f>
        <v>227345960</v>
      </c>
      <c r="X32" s="3" t="s">
        <v>275</v>
      </c>
      <c r="Y32" s="3" t="s">
        <v>276</v>
      </c>
      <c r="Z32" s="3" t="s">
        <v>70</v>
      </c>
      <c r="AA32" s="3" t="s">
        <v>71</v>
      </c>
      <c r="AB32" s="3" t="s">
        <v>72</v>
      </c>
      <c r="AC32" s="3"/>
      <c r="AD32" s="4">
        <v>18667</v>
      </c>
      <c r="AE32" s="4">
        <v>18872</v>
      </c>
      <c r="AF32" s="3"/>
      <c r="AG32" s="3" t="s">
        <v>222</v>
      </c>
      <c r="AH32" s="3" t="s">
        <v>277</v>
      </c>
      <c r="AI32" s="3" t="str">
        <f>"013269108"</f>
        <v>013269108</v>
      </c>
      <c r="AJ32" s="3" t="str">
        <f>""</f>
        <v/>
      </c>
      <c r="AK32" s="3" t="s">
        <v>62</v>
      </c>
      <c r="AL32" s="3" t="s">
        <v>197</v>
      </c>
      <c r="AM32" s="3" t="s">
        <v>272</v>
      </c>
      <c r="AN32" s="3" t="str">
        <f>"szkoła/placówka w zespole"</f>
        <v>szkoła/placówka w zespole</v>
      </c>
      <c r="AO32" s="3">
        <v>17238</v>
      </c>
      <c r="AP32" s="3" t="s">
        <v>98</v>
      </c>
      <c r="AQ32" s="3" t="s">
        <v>278</v>
      </c>
      <c r="AR32" s="3">
        <v>487</v>
      </c>
      <c r="AS32" s="3"/>
      <c r="AT32" s="3" t="s">
        <v>225</v>
      </c>
      <c r="AU32" s="3"/>
      <c r="AV32" s="3"/>
      <c r="AW32" s="3"/>
      <c r="AX32" s="3"/>
    </row>
    <row r="33" spans="1:57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4"/>
      <c r="AE33" s="4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7" x14ac:dyDescent="0.35">
      <c r="A34" s="3"/>
      <c r="B34" s="3"/>
      <c r="C34" s="9" t="s">
        <v>6</v>
      </c>
      <c r="D34" s="8"/>
      <c r="E34" s="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7" x14ac:dyDescent="0.35">
      <c r="A35" s="3"/>
      <c r="B35" s="3"/>
      <c r="C35" s="8"/>
      <c r="D35" s="8"/>
      <c r="E35" s="8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7" x14ac:dyDescent="0.35">
      <c r="A36" s="3"/>
      <c r="B36" s="3"/>
      <c r="C36" s="6" t="s">
        <v>0</v>
      </c>
      <c r="D36" s="8"/>
      <c r="E36" s="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43.5" x14ac:dyDescent="0.35">
      <c r="A37" s="3" t="s">
        <v>342</v>
      </c>
      <c r="B37" s="3" t="s">
        <v>15</v>
      </c>
      <c r="C37" s="3" t="s">
        <v>16</v>
      </c>
      <c r="D37" s="3" t="s">
        <v>17</v>
      </c>
      <c r="E37" s="3" t="s">
        <v>18</v>
      </c>
      <c r="F37" s="3" t="s">
        <v>19</v>
      </c>
      <c r="G37" s="3" t="s">
        <v>20</v>
      </c>
      <c r="H37" s="3" t="s">
        <v>21</v>
      </c>
      <c r="I37" s="3" t="s">
        <v>22</v>
      </c>
      <c r="J37" s="3" t="s">
        <v>23</v>
      </c>
      <c r="K37" s="3" t="s">
        <v>24</v>
      </c>
      <c r="L37" s="3" t="s">
        <v>25</v>
      </c>
      <c r="M37" s="3" t="s">
        <v>26</v>
      </c>
      <c r="N37" s="3" t="s">
        <v>27</v>
      </c>
      <c r="O37" s="3" t="s">
        <v>28</v>
      </c>
      <c r="P37" s="3" t="s">
        <v>29</v>
      </c>
      <c r="Q37" s="3" t="s">
        <v>30</v>
      </c>
      <c r="R37" s="3" t="s">
        <v>31</v>
      </c>
      <c r="S37" s="3" t="s">
        <v>32</v>
      </c>
      <c r="T37" s="3" t="s">
        <v>33</v>
      </c>
      <c r="U37" s="3" t="s">
        <v>34</v>
      </c>
      <c r="V37" s="3" t="s">
        <v>35</v>
      </c>
      <c r="W37" s="3" t="s">
        <v>36</v>
      </c>
      <c r="X37" s="3" t="s">
        <v>37</v>
      </c>
      <c r="Y37" s="3" t="s">
        <v>38</v>
      </c>
      <c r="Z37" s="3" t="s">
        <v>39</v>
      </c>
      <c r="AA37" s="3" t="s">
        <v>40</v>
      </c>
      <c r="AB37" s="3" t="s">
        <v>41</v>
      </c>
      <c r="AC37" s="3" t="s">
        <v>42</v>
      </c>
      <c r="AD37" s="3" t="s">
        <v>43</v>
      </c>
      <c r="AE37" s="3" t="s">
        <v>44</v>
      </c>
      <c r="AF37" s="3" t="s">
        <v>45</v>
      </c>
      <c r="AG37" s="3" t="s">
        <v>46</v>
      </c>
      <c r="AH37" s="3" t="s">
        <v>47</v>
      </c>
      <c r="AI37" s="3" t="s">
        <v>48</v>
      </c>
      <c r="AJ37" s="3" t="s">
        <v>49</v>
      </c>
      <c r="AK37" s="3" t="s">
        <v>50</v>
      </c>
      <c r="AL37" s="3" t="s">
        <v>51</v>
      </c>
      <c r="AM37" s="3" t="s">
        <v>52</v>
      </c>
      <c r="AN37" s="3" t="s">
        <v>53</v>
      </c>
      <c r="AO37" s="3" t="s">
        <v>54</v>
      </c>
      <c r="AP37" s="3" t="s">
        <v>55</v>
      </c>
      <c r="AQ37" s="3" t="s">
        <v>56</v>
      </c>
      <c r="AR37" s="3" t="s">
        <v>57</v>
      </c>
      <c r="AS37" s="3" t="s">
        <v>58</v>
      </c>
      <c r="AT37" s="3" t="s">
        <v>59</v>
      </c>
      <c r="AU37" s="3"/>
      <c r="AV37" s="3"/>
      <c r="AW37" s="3"/>
      <c r="AX37" s="3"/>
    </row>
    <row r="38" spans="1:57" ht="101.5" x14ac:dyDescent="0.35">
      <c r="A38" s="3" t="s">
        <v>352</v>
      </c>
      <c r="B38" s="3">
        <v>21044</v>
      </c>
      <c r="C38" s="3" t="str">
        <f>"000801415"</f>
        <v>000801415</v>
      </c>
      <c r="D38" s="3" t="str">
        <f>"1131818109"</f>
        <v>1131818109</v>
      </c>
      <c r="E38" s="3" t="s">
        <v>60</v>
      </c>
      <c r="F38" s="3" t="s">
        <v>120</v>
      </c>
      <c r="G38" s="3" t="str">
        <f>"14"</f>
        <v>14</v>
      </c>
      <c r="H38" s="3" t="str">
        <f>"1465"</f>
        <v>1465</v>
      </c>
      <c r="I38" s="3" t="str">
        <f>"1465078"</f>
        <v>1465078</v>
      </c>
      <c r="J38" s="3" t="str">
        <f>"0918838"</f>
        <v>0918838</v>
      </c>
      <c r="K38" s="3" t="str">
        <f>"21789"</f>
        <v>21789</v>
      </c>
      <c r="L38" s="3" t="s">
        <v>62</v>
      </c>
      <c r="M38" s="3" t="s">
        <v>87</v>
      </c>
      <c r="N38" s="3" t="s">
        <v>121</v>
      </c>
      <c r="O38" s="3" t="s">
        <v>122</v>
      </c>
      <c r="P38" s="3" t="s">
        <v>88</v>
      </c>
      <c r="Q38" s="3" t="s">
        <v>123</v>
      </c>
      <c r="R38" s="3" t="str">
        <f>"117"</f>
        <v>117</v>
      </c>
      <c r="S38" s="3" t="str">
        <f>""</f>
        <v/>
      </c>
      <c r="T38" s="3" t="str">
        <f>"04-349"</f>
        <v>04-349</v>
      </c>
      <c r="U38" s="3" t="str">
        <f>"Warszawa"</f>
        <v>Warszawa</v>
      </c>
      <c r="V38" s="3" t="str">
        <f>"226106772"</f>
        <v>226106772</v>
      </c>
      <c r="W38" s="3" t="str">
        <f>"226106772"</f>
        <v>226106772</v>
      </c>
      <c r="X38" s="3" t="s">
        <v>124</v>
      </c>
      <c r="Y38" s="3" t="s">
        <v>125</v>
      </c>
      <c r="Z38" s="3" t="s">
        <v>70</v>
      </c>
      <c r="AA38" s="3" t="s">
        <v>71</v>
      </c>
      <c r="AB38" s="3" t="s">
        <v>72</v>
      </c>
      <c r="AC38" s="3" t="s">
        <v>126</v>
      </c>
      <c r="AD38" s="4">
        <v>24716</v>
      </c>
      <c r="AE38" s="4">
        <v>24716</v>
      </c>
      <c r="AF38" s="3"/>
      <c r="AG38" s="3" t="s">
        <v>89</v>
      </c>
      <c r="AH38" s="3" t="s">
        <v>127</v>
      </c>
      <c r="AI38" s="3" t="str">
        <f>"01525964000073"</f>
        <v>01525964000073</v>
      </c>
      <c r="AJ38" s="3" t="str">
        <f>""</f>
        <v/>
      </c>
      <c r="AK38" s="3" t="s">
        <v>62</v>
      </c>
      <c r="AL38" s="3" t="s">
        <v>87</v>
      </c>
      <c r="AM38" s="3" t="s">
        <v>121</v>
      </c>
      <c r="AN38" s="3" t="str">
        <f>"samodzielna"</f>
        <v>samodzielna</v>
      </c>
      <c r="AO38" s="3"/>
      <c r="AP38" s="3"/>
      <c r="AQ38" s="3"/>
      <c r="AR38" s="3">
        <v>745</v>
      </c>
      <c r="AS38" s="3" t="s">
        <v>128</v>
      </c>
      <c r="AT38" s="3" t="s">
        <v>101</v>
      </c>
      <c r="AU38" s="3"/>
      <c r="AV38" s="3"/>
      <c r="AW38" s="3"/>
      <c r="AX38" s="3"/>
    </row>
    <row r="39" spans="1:57" ht="58" x14ac:dyDescent="0.35">
      <c r="A39" s="3" t="s">
        <v>353</v>
      </c>
      <c r="B39" s="3">
        <v>16905</v>
      </c>
      <c r="C39" s="3" t="str">
        <f>"001095445"</f>
        <v>001095445</v>
      </c>
      <c r="D39" s="3" t="str">
        <f>"5222412102"</f>
        <v>5222412102</v>
      </c>
      <c r="E39" s="3" t="s">
        <v>60</v>
      </c>
      <c r="F39" s="3" t="s">
        <v>91</v>
      </c>
      <c r="G39" s="3" t="str">
        <f>"14"</f>
        <v>14</v>
      </c>
      <c r="H39" s="3" t="str">
        <f>"1465"</f>
        <v>1465</v>
      </c>
      <c r="I39" s="3" t="str">
        <f>"1465028"</f>
        <v>1465028</v>
      </c>
      <c r="J39" s="3" t="str">
        <f>"0988780"</f>
        <v>0988780</v>
      </c>
      <c r="K39" s="3" t="str">
        <f>"44365"</f>
        <v>44365</v>
      </c>
      <c r="L39" s="3" t="s">
        <v>62</v>
      </c>
      <c r="M39" s="3" t="s">
        <v>87</v>
      </c>
      <c r="N39" s="3" t="s">
        <v>92</v>
      </c>
      <c r="O39" s="3" t="s">
        <v>93</v>
      </c>
      <c r="P39" s="3" t="s">
        <v>88</v>
      </c>
      <c r="Q39" s="3" t="s">
        <v>94</v>
      </c>
      <c r="R39" s="3" t="str">
        <f>"3"</f>
        <v>3</v>
      </c>
      <c r="S39" s="3" t="str">
        <f>""</f>
        <v/>
      </c>
      <c r="T39" s="3" t="str">
        <f>"01-493"</f>
        <v>01-493</v>
      </c>
      <c r="U39" s="3" t="str">
        <f>"Warszawa"</f>
        <v>Warszawa</v>
      </c>
      <c r="V39" s="3" t="str">
        <f>"228363978"</f>
        <v>228363978</v>
      </c>
      <c r="W39" s="3" t="str">
        <f>"226381377"</f>
        <v>226381377</v>
      </c>
      <c r="X39" s="3" t="s">
        <v>95</v>
      </c>
      <c r="Y39" s="3" t="s">
        <v>96</v>
      </c>
      <c r="Z39" s="3" t="s">
        <v>70</v>
      </c>
      <c r="AA39" s="3" t="s">
        <v>71</v>
      </c>
      <c r="AB39" s="3" t="s">
        <v>72</v>
      </c>
      <c r="AC39" s="3"/>
      <c r="AD39" s="4">
        <v>30816</v>
      </c>
      <c r="AE39" s="4">
        <v>30926</v>
      </c>
      <c r="AF39" s="3"/>
      <c r="AG39" s="3" t="s">
        <v>89</v>
      </c>
      <c r="AH39" s="3" t="s">
        <v>97</v>
      </c>
      <c r="AI39" s="3" t="str">
        <f>"01525964000027"</f>
        <v>01525964000027</v>
      </c>
      <c r="AJ39" s="3" t="str">
        <f>"5222726651"</f>
        <v>5222726651</v>
      </c>
      <c r="AK39" s="3" t="s">
        <v>62</v>
      </c>
      <c r="AL39" s="3" t="s">
        <v>87</v>
      </c>
      <c r="AM39" s="3" t="s">
        <v>92</v>
      </c>
      <c r="AN39" s="3" t="str">
        <f>"szkoła/placówka w zespole"</f>
        <v>szkoła/placówka w zespole</v>
      </c>
      <c r="AO39" s="3">
        <v>118553</v>
      </c>
      <c r="AP39" s="3" t="s">
        <v>98</v>
      </c>
      <c r="AQ39" s="3" t="s">
        <v>99</v>
      </c>
      <c r="AR39" s="3">
        <v>965</v>
      </c>
      <c r="AS39" s="3"/>
      <c r="AT39" s="3" t="s">
        <v>100</v>
      </c>
      <c r="AU39" s="3"/>
      <c r="AV39" s="3"/>
      <c r="AW39" s="3"/>
      <c r="AX39" s="3"/>
    </row>
    <row r="40" spans="1:57" ht="87" x14ac:dyDescent="0.35">
      <c r="A40" s="3" t="s">
        <v>354</v>
      </c>
      <c r="B40" s="3">
        <v>23504</v>
      </c>
      <c r="C40" s="3" t="str">
        <f>"010412380"</f>
        <v>010412380</v>
      </c>
      <c r="D40" s="3" t="str">
        <f>"1180130442"</f>
        <v>1180130442</v>
      </c>
      <c r="E40" s="3" t="s">
        <v>60</v>
      </c>
      <c r="F40" s="3" t="s">
        <v>111</v>
      </c>
      <c r="G40" s="3" t="str">
        <f>"14"</f>
        <v>14</v>
      </c>
      <c r="H40" s="3" t="str">
        <f>"1465"</f>
        <v>1465</v>
      </c>
      <c r="I40" s="3" t="str">
        <f>"1465048"</f>
        <v>1465048</v>
      </c>
      <c r="J40" s="3" t="str">
        <f>"0988804"</f>
        <v>0988804</v>
      </c>
      <c r="K40" s="3" t="str">
        <f>"05119"</f>
        <v>05119</v>
      </c>
      <c r="L40" s="3" t="s">
        <v>62</v>
      </c>
      <c r="M40" s="3" t="s">
        <v>87</v>
      </c>
      <c r="N40" s="3" t="s">
        <v>112</v>
      </c>
      <c r="O40" s="3" t="s">
        <v>113</v>
      </c>
      <c r="P40" s="3" t="s">
        <v>88</v>
      </c>
      <c r="Q40" s="3" t="s">
        <v>114</v>
      </c>
      <c r="R40" s="3" t="str">
        <f>"3"</f>
        <v>3</v>
      </c>
      <c r="S40" s="3" t="str">
        <f>""</f>
        <v/>
      </c>
      <c r="T40" s="3" t="str">
        <f>"01-835"</f>
        <v>01-835</v>
      </c>
      <c r="U40" s="3" t="str">
        <f>"Warszawa"</f>
        <v>Warszawa</v>
      </c>
      <c r="V40" s="3" t="str">
        <f>"228342831"</f>
        <v>228342831</v>
      </c>
      <c r="W40" s="3" t="str">
        <f>"228342831"</f>
        <v>228342831</v>
      </c>
      <c r="X40" s="3" t="s">
        <v>115</v>
      </c>
      <c r="Y40" s="3" t="s">
        <v>116</v>
      </c>
      <c r="Z40" s="3" t="s">
        <v>70</v>
      </c>
      <c r="AA40" s="3" t="s">
        <v>71</v>
      </c>
      <c r="AB40" s="3" t="s">
        <v>72</v>
      </c>
      <c r="AC40" s="3" t="s">
        <v>117</v>
      </c>
      <c r="AD40" s="4">
        <v>20699</v>
      </c>
      <c r="AE40" s="4">
        <v>20699</v>
      </c>
      <c r="AF40" s="3"/>
      <c r="AG40" s="3" t="s">
        <v>89</v>
      </c>
      <c r="AH40" s="3" t="s">
        <v>118</v>
      </c>
      <c r="AI40" s="3" t="str">
        <f>"01525964000041"</f>
        <v>01525964000041</v>
      </c>
      <c r="AJ40" s="3" t="str">
        <f>""</f>
        <v/>
      </c>
      <c r="AK40" s="3" t="s">
        <v>62</v>
      </c>
      <c r="AL40" s="3" t="s">
        <v>87</v>
      </c>
      <c r="AM40" s="3" t="s">
        <v>112</v>
      </c>
      <c r="AN40" s="3" t="str">
        <f>"samodzielna"</f>
        <v>samodzielna</v>
      </c>
      <c r="AO40" s="3"/>
      <c r="AP40" s="3"/>
      <c r="AQ40" s="3"/>
      <c r="AR40" s="3">
        <v>536</v>
      </c>
      <c r="AS40" s="3" t="s">
        <v>119</v>
      </c>
      <c r="AT40" s="3" t="s">
        <v>90</v>
      </c>
      <c r="AU40" s="3"/>
      <c r="AV40" s="3"/>
      <c r="AW40" s="3"/>
      <c r="AX40" s="3"/>
    </row>
    <row r="41" spans="1:57" ht="130.5" x14ac:dyDescent="0.35">
      <c r="A41" s="3" t="s">
        <v>355</v>
      </c>
      <c r="B41" s="3">
        <v>60278</v>
      </c>
      <c r="C41" s="3" t="str">
        <f>"000802001"</f>
        <v>000802001</v>
      </c>
      <c r="D41" s="3" t="str">
        <f>"5211553336"</f>
        <v>5211553336</v>
      </c>
      <c r="E41" s="3" t="s">
        <v>60</v>
      </c>
      <c r="F41" s="3" t="s">
        <v>102</v>
      </c>
      <c r="G41" s="3" t="str">
        <f>"14"</f>
        <v>14</v>
      </c>
      <c r="H41" s="3" t="str">
        <f>"1465"</f>
        <v>1465</v>
      </c>
      <c r="I41" s="3" t="str">
        <f>"1465058"</f>
        <v>1465058</v>
      </c>
      <c r="J41" s="3" t="str">
        <f>"0918130"</f>
        <v>0918130</v>
      </c>
      <c r="K41" s="3" t="str">
        <f>"44501"</f>
        <v>44501</v>
      </c>
      <c r="L41" s="3" t="s">
        <v>62</v>
      </c>
      <c r="M41" s="3" t="s">
        <v>87</v>
      </c>
      <c r="N41" s="3" t="s">
        <v>103</v>
      </c>
      <c r="O41" s="3" t="s">
        <v>104</v>
      </c>
      <c r="P41" s="3" t="s">
        <v>88</v>
      </c>
      <c r="Q41" s="3" t="s">
        <v>105</v>
      </c>
      <c r="R41" s="3" t="str">
        <f>"3"</f>
        <v>3</v>
      </c>
      <c r="S41" s="3" t="str">
        <f>""</f>
        <v/>
      </c>
      <c r="T41" s="3" t="str">
        <f>"02-649"</f>
        <v>02-649</v>
      </c>
      <c r="U41" s="3" t="str">
        <f>"Warszawa"</f>
        <v>Warszawa</v>
      </c>
      <c r="V41" s="3" t="str">
        <f>"228447548"</f>
        <v>228447548</v>
      </c>
      <c r="W41" s="3" t="str">
        <f>""</f>
        <v/>
      </c>
      <c r="X41" s="3" t="s">
        <v>106</v>
      </c>
      <c r="Y41" s="3" t="s">
        <v>107</v>
      </c>
      <c r="Z41" s="3" t="s">
        <v>70</v>
      </c>
      <c r="AA41" s="3" t="s">
        <v>71</v>
      </c>
      <c r="AB41" s="3" t="s">
        <v>72</v>
      </c>
      <c r="AC41" s="3" t="s">
        <v>108</v>
      </c>
      <c r="AD41" s="4">
        <v>22525</v>
      </c>
      <c r="AE41" s="4">
        <v>22525</v>
      </c>
      <c r="AF41" s="3"/>
      <c r="AG41" s="3" t="s">
        <v>89</v>
      </c>
      <c r="AH41" s="3" t="s">
        <v>109</v>
      </c>
      <c r="AI41" s="3" t="str">
        <f>"01525964000059"</f>
        <v>01525964000059</v>
      </c>
      <c r="AJ41" s="3" t="str">
        <f>""</f>
        <v/>
      </c>
      <c r="AK41" s="3" t="s">
        <v>62</v>
      </c>
      <c r="AL41" s="3" t="s">
        <v>87</v>
      </c>
      <c r="AM41" s="3" t="s">
        <v>103</v>
      </c>
      <c r="AN41" s="3" t="str">
        <f>"samodzielna"</f>
        <v>samodzielna</v>
      </c>
      <c r="AO41" s="3"/>
      <c r="AP41" s="3"/>
      <c r="AQ41" s="3"/>
      <c r="AR41" s="3">
        <v>296</v>
      </c>
      <c r="AS41" s="3" t="s">
        <v>110</v>
      </c>
      <c r="AT41" s="3" t="s">
        <v>100</v>
      </c>
      <c r="AU41" s="3"/>
      <c r="AV41" s="3"/>
      <c r="AW41" s="3"/>
      <c r="AX41" s="3"/>
    </row>
    <row r="42" spans="1:57" x14ac:dyDescent="0.35">
      <c r="A42" s="3"/>
      <c r="B42" s="3"/>
      <c r="C42" s="6" t="s">
        <v>1</v>
      </c>
      <c r="D42" s="8"/>
      <c r="E42" s="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ht="87" x14ac:dyDescent="0.35">
      <c r="A43" s="3" t="s">
        <v>356</v>
      </c>
      <c r="B43" s="3">
        <v>88070</v>
      </c>
      <c r="C43" s="3" t="str">
        <f>"015810629"</f>
        <v>015810629</v>
      </c>
      <c r="D43" s="3" t="str">
        <f>"1131960511"</f>
        <v>1131960511</v>
      </c>
      <c r="E43" s="3" t="s">
        <v>218</v>
      </c>
      <c r="F43" s="3" t="s">
        <v>259</v>
      </c>
      <c r="G43" s="3" t="str">
        <f>"14"</f>
        <v>14</v>
      </c>
      <c r="H43" s="3" t="str">
        <f>"1465"</f>
        <v>1465</v>
      </c>
      <c r="I43" s="3" t="str">
        <f>"1465078"</f>
        <v>1465078</v>
      </c>
      <c r="J43" s="3" t="str">
        <f>"0918838"</f>
        <v>0918838</v>
      </c>
      <c r="K43" s="3" t="str">
        <f>"11960"</f>
        <v>11960</v>
      </c>
      <c r="L43" s="3" t="s">
        <v>62</v>
      </c>
      <c r="M43" s="3" t="s">
        <v>87</v>
      </c>
      <c r="N43" s="3" t="s">
        <v>121</v>
      </c>
      <c r="O43" s="3" t="s">
        <v>122</v>
      </c>
      <c r="P43" s="3" t="s">
        <v>88</v>
      </c>
      <c r="Q43" s="3" t="s">
        <v>260</v>
      </c>
      <c r="R43" s="3" t="str">
        <f>"30/36"</f>
        <v>30/36</v>
      </c>
      <c r="S43" s="3" t="str">
        <f>""</f>
        <v/>
      </c>
      <c r="T43" s="3" t="str">
        <f>"04-110"</f>
        <v>04-110</v>
      </c>
      <c r="U43" s="3" t="str">
        <f>"Warszawa"</f>
        <v>Warszawa</v>
      </c>
      <c r="V43" s="3" t="str">
        <f>"228100489"</f>
        <v>228100489</v>
      </c>
      <c r="W43" s="3" t="str">
        <f>"228100489"</f>
        <v>228100489</v>
      </c>
      <c r="X43" s="3" t="s">
        <v>261</v>
      </c>
      <c r="Y43" s="3" t="s">
        <v>262</v>
      </c>
      <c r="Z43" s="3" t="s">
        <v>70</v>
      </c>
      <c r="AA43" s="3" t="s">
        <v>71</v>
      </c>
      <c r="AB43" s="3" t="s">
        <v>72</v>
      </c>
      <c r="AC43" s="3"/>
      <c r="AD43" s="4">
        <v>37500</v>
      </c>
      <c r="AE43" s="4">
        <v>37500</v>
      </c>
      <c r="AF43" s="3"/>
      <c r="AG43" s="3" t="s">
        <v>89</v>
      </c>
      <c r="AH43" s="3" t="s">
        <v>127</v>
      </c>
      <c r="AI43" s="3" t="str">
        <f>"01525964000073"</f>
        <v>01525964000073</v>
      </c>
      <c r="AJ43" s="3" t="str">
        <f>""</f>
        <v/>
      </c>
      <c r="AK43" s="3" t="s">
        <v>62</v>
      </c>
      <c r="AL43" s="3" t="s">
        <v>87</v>
      </c>
      <c r="AM43" s="3" t="s">
        <v>121</v>
      </c>
      <c r="AN43" s="3" t="str">
        <f>"szkoła/placówka w zespole"</f>
        <v>szkoła/placówka w zespole</v>
      </c>
      <c r="AO43" s="3">
        <v>35214</v>
      </c>
      <c r="AP43" s="3" t="s">
        <v>98</v>
      </c>
      <c r="AQ43" s="3" t="s">
        <v>263</v>
      </c>
      <c r="AR43" s="3">
        <v>358</v>
      </c>
      <c r="AS43" s="3"/>
      <c r="AT43" s="3" t="s">
        <v>100</v>
      </c>
      <c r="AU43" s="3"/>
      <c r="AV43" s="3"/>
      <c r="AW43" s="3"/>
      <c r="AX43" s="3"/>
    </row>
    <row r="44" spans="1:57" ht="87" x14ac:dyDescent="0.35">
      <c r="A44" s="3" t="s">
        <v>357</v>
      </c>
      <c r="B44" s="3">
        <v>26015</v>
      </c>
      <c r="C44" s="3" t="str">
        <f>"015496529"</f>
        <v>015496529</v>
      </c>
      <c r="D44" s="3" t="str">
        <f>"1130263922"</f>
        <v>1130263922</v>
      </c>
      <c r="E44" s="3" t="s">
        <v>218</v>
      </c>
      <c r="F44" s="3" t="s">
        <v>264</v>
      </c>
      <c r="G44" s="3" t="str">
        <f>"14"</f>
        <v>14</v>
      </c>
      <c r="H44" s="3" t="str">
        <f>"1465"</f>
        <v>1465</v>
      </c>
      <c r="I44" s="3" t="str">
        <f>"1465078"</f>
        <v>1465078</v>
      </c>
      <c r="J44" s="3" t="str">
        <f>"0918838"</f>
        <v>0918838</v>
      </c>
      <c r="K44" s="3" t="str">
        <f>"45566"</f>
        <v>45566</v>
      </c>
      <c r="L44" s="3" t="s">
        <v>62</v>
      </c>
      <c r="M44" s="3" t="s">
        <v>87</v>
      </c>
      <c r="N44" s="3" t="s">
        <v>121</v>
      </c>
      <c r="O44" s="3" t="s">
        <v>122</v>
      </c>
      <c r="P44" s="3" t="s">
        <v>88</v>
      </c>
      <c r="Q44" s="3" t="s">
        <v>265</v>
      </c>
      <c r="R44" s="3" t="str">
        <f>"24"</f>
        <v>24</v>
      </c>
      <c r="S44" s="3" t="str">
        <f>""</f>
        <v/>
      </c>
      <c r="T44" s="3" t="str">
        <f>"03-964"</f>
        <v>03-964</v>
      </c>
      <c r="U44" s="3" t="str">
        <f>"Warszawa"</f>
        <v>Warszawa</v>
      </c>
      <c r="V44" s="3" t="str">
        <f>"226718937"</f>
        <v>226718937</v>
      </c>
      <c r="W44" s="3" t="str">
        <f>"226177760"</f>
        <v>226177760</v>
      </c>
      <c r="X44" s="3" t="s">
        <v>266</v>
      </c>
      <c r="Y44" s="3" t="s">
        <v>267</v>
      </c>
      <c r="Z44" s="3" t="s">
        <v>70</v>
      </c>
      <c r="AA44" s="3" t="s">
        <v>71</v>
      </c>
      <c r="AB44" s="3" t="s">
        <v>72</v>
      </c>
      <c r="AC44" s="3"/>
      <c r="AD44" s="4">
        <v>19968</v>
      </c>
      <c r="AE44" s="4">
        <v>19968</v>
      </c>
      <c r="AF44" s="3"/>
      <c r="AG44" s="3" t="s">
        <v>89</v>
      </c>
      <c r="AH44" s="3" t="s">
        <v>127</v>
      </c>
      <c r="AI44" s="3" t="str">
        <f>"01525964000073"</f>
        <v>01525964000073</v>
      </c>
      <c r="AJ44" s="3" t="str">
        <f>""</f>
        <v/>
      </c>
      <c r="AK44" s="3" t="s">
        <v>62</v>
      </c>
      <c r="AL44" s="3" t="s">
        <v>87</v>
      </c>
      <c r="AM44" s="3" t="s">
        <v>121</v>
      </c>
      <c r="AN44" s="3" t="str">
        <f>"szkoła/placówka w zespole"</f>
        <v>szkoła/placówka w zespole</v>
      </c>
      <c r="AO44" s="3">
        <v>20504</v>
      </c>
      <c r="AP44" s="3" t="s">
        <v>98</v>
      </c>
      <c r="AQ44" s="3" t="s">
        <v>268</v>
      </c>
      <c r="AR44" s="3">
        <v>649</v>
      </c>
      <c r="AS44" s="3"/>
      <c r="AT44" s="3" t="s">
        <v>241</v>
      </c>
      <c r="AU44" s="3"/>
      <c r="AV44" s="3"/>
      <c r="AW44" s="3"/>
      <c r="AX44" s="3"/>
    </row>
    <row r="45" spans="1:57" ht="72.5" x14ac:dyDescent="0.35">
      <c r="A45" s="3" t="s">
        <v>358</v>
      </c>
      <c r="B45" s="3">
        <v>27280</v>
      </c>
      <c r="C45" s="3" t="str">
        <f>"001009931"</f>
        <v>001009931</v>
      </c>
      <c r="D45" s="3" t="str">
        <f>""</f>
        <v/>
      </c>
      <c r="E45" s="3" t="s">
        <v>269</v>
      </c>
      <c r="F45" s="3" t="s">
        <v>302</v>
      </c>
      <c r="G45" s="3" t="str">
        <f>"14"</f>
        <v>14</v>
      </c>
      <c r="H45" s="3" t="str">
        <f>"1465"</f>
        <v>1465</v>
      </c>
      <c r="I45" s="3" t="str">
        <f>"1465048"</f>
        <v>1465048</v>
      </c>
      <c r="J45" s="3" t="str">
        <f>"0988804"</f>
        <v>0988804</v>
      </c>
      <c r="K45" s="3" t="str">
        <f>"22837"</f>
        <v>22837</v>
      </c>
      <c r="L45" s="3" t="s">
        <v>62</v>
      </c>
      <c r="M45" s="3" t="s">
        <v>87</v>
      </c>
      <c r="N45" s="3" t="s">
        <v>112</v>
      </c>
      <c r="O45" s="3" t="s">
        <v>113</v>
      </c>
      <c r="P45" s="3" t="s">
        <v>88</v>
      </c>
      <c r="Q45" s="3" t="s">
        <v>303</v>
      </c>
      <c r="R45" s="3" t="str">
        <f>"2"</f>
        <v>2</v>
      </c>
      <c r="S45" s="3" t="str">
        <f>""</f>
        <v/>
      </c>
      <c r="T45" s="3" t="str">
        <f>"01-910"</f>
        <v>01-910</v>
      </c>
      <c r="U45" s="3" t="str">
        <f>"Warszawa"</f>
        <v>Warszawa</v>
      </c>
      <c r="V45" s="3" t="str">
        <f>"228359558"</f>
        <v>228359558</v>
      </c>
      <c r="W45" s="3" t="str">
        <f>"228359558"</f>
        <v>228359558</v>
      </c>
      <c r="X45" s="3" t="s">
        <v>304</v>
      </c>
      <c r="Y45" s="3" t="s">
        <v>305</v>
      </c>
      <c r="Z45" s="3" t="s">
        <v>70</v>
      </c>
      <c r="AA45" s="3" t="s">
        <v>71</v>
      </c>
      <c r="AB45" s="3" t="s">
        <v>72</v>
      </c>
      <c r="AC45" s="3"/>
      <c r="AD45" s="4">
        <v>30117</v>
      </c>
      <c r="AE45" s="4">
        <v>30195</v>
      </c>
      <c r="AF45" s="3"/>
      <c r="AG45" s="3" t="s">
        <v>89</v>
      </c>
      <c r="AH45" s="3" t="s">
        <v>118</v>
      </c>
      <c r="AI45" s="3" t="str">
        <f>"01525964000041"</f>
        <v>01525964000041</v>
      </c>
      <c r="AJ45" s="3" t="str">
        <f>""</f>
        <v/>
      </c>
      <c r="AK45" s="3" t="s">
        <v>62</v>
      </c>
      <c r="AL45" s="3" t="s">
        <v>87</v>
      </c>
      <c r="AM45" s="3" t="s">
        <v>112</v>
      </c>
      <c r="AN45" s="3" t="str">
        <f>"szkoła/placówka w zespole"</f>
        <v>szkoła/placówka w zespole</v>
      </c>
      <c r="AO45" s="3">
        <v>23488</v>
      </c>
      <c r="AP45" s="3" t="s">
        <v>98</v>
      </c>
      <c r="AQ45" s="3" t="s">
        <v>306</v>
      </c>
      <c r="AR45" s="3">
        <v>470</v>
      </c>
      <c r="AS45" s="3"/>
      <c r="AT45" s="3" t="s">
        <v>307</v>
      </c>
      <c r="AU45" s="3"/>
      <c r="AV45" s="3"/>
      <c r="AW45" s="3"/>
      <c r="AX45" s="3"/>
    </row>
    <row r="46" spans="1:57" ht="87" x14ac:dyDescent="0.35">
      <c r="A46" s="3" t="s">
        <v>359</v>
      </c>
      <c r="B46" s="3">
        <v>83650</v>
      </c>
      <c r="C46" s="3" t="str">
        <f>"000798937"</f>
        <v>000798937</v>
      </c>
      <c r="D46" s="3" t="str">
        <f>"5211160424"</f>
        <v>5211160424</v>
      </c>
      <c r="E46" s="3" t="s">
        <v>269</v>
      </c>
      <c r="F46" s="3" t="s">
        <v>308</v>
      </c>
      <c r="G46" s="3" t="str">
        <f>"14"</f>
        <v>14</v>
      </c>
      <c r="H46" s="3" t="str">
        <f>"1465"</f>
        <v>1465</v>
      </c>
      <c r="I46" s="3" t="str">
        <f>"1465058"</f>
        <v>1465058</v>
      </c>
      <c r="J46" s="3" t="str">
        <f>"0918130"</f>
        <v>0918130</v>
      </c>
      <c r="K46" s="3" t="str">
        <f>"24255"</f>
        <v>24255</v>
      </c>
      <c r="L46" s="3" t="s">
        <v>62</v>
      </c>
      <c r="M46" s="3" t="s">
        <v>87</v>
      </c>
      <c r="N46" s="3" t="s">
        <v>103</v>
      </c>
      <c r="O46" s="3" t="s">
        <v>104</v>
      </c>
      <c r="P46" s="3" t="s">
        <v>88</v>
      </c>
      <c r="Q46" s="3" t="s">
        <v>309</v>
      </c>
      <c r="R46" s="3" t="str">
        <f>"30/32"</f>
        <v>30/32</v>
      </c>
      <c r="S46" s="3" t="str">
        <f>""</f>
        <v/>
      </c>
      <c r="T46" s="3" t="str">
        <f>"02-587"</f>
        <v>02-587</v>
      </c>
      <c r="U46" s="3" t="str">
        <f>"Warszawa"</f>
        <v>Warszawa</v>
      </c>
      <c r="V46" s="3" t="str">
        <f>"228441368"</f>
        <v>228441368</v>
      </c>
      <c r="W46" s="3" t="str">
        <f>""</f>
        <v/>
      </c>
      <c r="X46" s="3" t="s">
        <v>310</v>
      </c>
      <c r="Y46" s="3" t="s">
        <v>311</v>
      </c>
      <c r="Z46" s="3" t="s">
        <v>70</v>
      </c>
      <c r="AA46" s="3" t="s">
        <v>71</v>
      </c>
      <c r="AB46" s="3" t="s">
        <v>72</v>
      </c>
      <c r="AC46" s="3" t="s">
        <v>312</v>
      </c>
      <c r="AD46" s="4">
        <v>2070</v>
      </c>
      <c r="AE46" s="4">
        <v>2070</v>
      </c>
      <c r="AF46" s="3"/>
      <c r="AG46" s="3" t="s">
        <v>89</v>
      </c>
      <c r="AH46" s="3" t="s">
        <v>109</v>
      </c>
      <c r="AI46" s="3" t="str">
        <f>"01525964000059"</f>
        <v>01525964000059</v>
      </c>
      <c r="AJ46" s="3" t="str">
        <f>""</f>
        <v/>
      </c>
      <c r="AK46" s="3" t="s">
        <v>62</v>
      </c>
      <c r="AL46" s="3" t="s">
        <v>87</v>
      </c>
      <c r="AM46" s="3" t="s">
        <v>103</v>
      </c>
      <c r="AN46" s="3" t="str">
        <f>"samodzielna"</f>
        <v>samodzielna</v>
      </c>
      <c r="AO46" s="3"/>
      <c r="AP46" s="3"/>
      <c r="AQ46" s="3"/>
      <c r="AR46" s="3">
        <v>893</v>
      </c>
      <c r="AS46" s="3" t="s">
        <v>313</v>
      </c>
      <c r="AT46" s="3" t="s">
        <v>225</v>
      </c>
      <c r="AU46" s="3"/>
      <c r="AV46" s="3"/>
      <c r="AW46" s="3"/>
      <c r="AX46" s="3"/>
    </row>
    <row r="47" spans="1:57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7" x14ac:dyDescent="0.35">
      <c r="A48" s="3"/>
      <c r="B48" s="3"/>
      <c r="C48" s="9" t="s">
        <v>5</v>
      </c>
      <c r="D48" s="8"/>
      <c r="E48" s="8"/>
      <c r="F48" s="8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62" x14ac:dyDescent="0.35">
      <c r="A49" s="3"/>
      <c r="B49" s="3"/>
      <c r="C49" s="8"/>
      <c r="D49" s="8"/>
      <c r="E49" s="8"/>
      <c r="F49" s="8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62" x14ac:dyDescent="0.35">
      <c r="A50" s="3"/>
      <c r="B50" s="3"/>
      <c r="C50" s="6" t="s">
        <v>0</v>
      </c>
      <c r="D50" s="8"/>
      <c r="E50" s="8"/>
      <c r="F50" s="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62" ht="43.5" x14ac:dyDescent="0.35">
      <c r="A51" s="3" t="s">
        <v>342</v>
      </c>
      <c r="B51" s="3" t="s">
        <v>15</v>
      </c>
      <c r="C51" s="3" t="s">
        <v>16</v>
      </c>
      <c r="D51" s="3" t="s">
        <v>17</v>
      </c>
      <c r="E51" s="3" t="s">
        <v>18</v>
      </c>
      <c r="F51" s="3" t="s">
        <v>19</v>
      </c>
      <c r="G51" s="3" t="s">
        <v>20</v>
      </c>
      <c r="H51" s="3" t="s">
        <v>21</v>
      </c>
      <c r="I51" s="3" t="s">
        <v>22</v>
      </c>
      <c r="J51" s="3" t="s">
        <v>23</v>
      </c>
      <c r="K51" s="3" t="s">
        <v>24</v>
      </c>
      <c r="L51" s="3" t="s">
        <v>25</v>
      </c>
      <c r="M51" s="3" t="s">
        <v>26</v>
      </c>
      <c r="N51" s="3" t="s">
        <v>27</v>
      </c>
      <c r="O51" s="3" t="s">
        <v>28</v>
      </c>
      <c r="P51" s="3" t="s">
        <v>29</v>
      </c>
      <c r="Q51" s="3" t="s">
        <v>30</v>
      </c>
      <c r="R51" s="3" t="s">
        <v>31</v>
      </c>
      <c r="S51" s="3" t="s">
        <v>32</v>
      </c>
      <c r="T51" s="3" t="s">
        <v>33</v>
      </c>
      <c r="U51" s="3" t="s">
        <v>34</v>
      </c>
      <c r="V51" s="3" t="s">
        <v>35</v>
      </c>
      <c r="W51" s="3" t="s">
        <v>36</v>
      </c>
      <c r="X51" s="3" t="s">
        <v>37</v>
      </c>
      <c r="Y51" s="3" t="s">
        <v>38</v>
      </c>
      <c r="Z51" s="3" t="s">
        <v>39</v>
      </c>
      <c r="AA51" s="3" t="s">
        <v>40</v>
      </c>
      <c r="AB51" s="3" t="s">
        <v>41</v>
      </c>
      <c r="AC51" s="3" t="s">
        <v>42</v>
      </c>
      <c r="AD51" s="3" t="s">
        <v>43</v>
      </c>
      <c r="AE51" s="3" t="s">
        <v>44</v>
      </c>
      <c r="AF51" s="3" t="s">
        <v>45</v>
      </c>
      <c r="AG51" s="3" t="s">
        <v>46</v>
      </c>
      <c r="AH51" s="3" t="s">
        <v>47</v>
      </c>
      <c r="AI51" s="3" t="s">
        <v>48</v>
      </c>
      <c r="AJ51" s="3" t="s">
        <v>49</v>
      </c>
      <c r="AK51" s="3" t="s">
        <v>50</v>
      </c>
      <c r="AL51" s="3" t="s">
        <v>51</v>
      </c>
      <c r="AM51" s="3" t="s">
        <v>52</v>
      </c>
      <c r="AN51" s="3" t="s">
        <v>53</v>
      </c>
      <c r="AO51" s="3" t="s">
        <v>54</v>
      </c>
      <c r="AP51" s="3" t="s">
        <v>55</v>
      </c>
      <c r="AQ51" s="3" t="s">
        <v>56</v>
      </c>
      <c r="AR51" s="3" t="s">
        <v>57</v>
      </c>
      <c r="AS51" s="3" t="s">
        <v>58</v>
      </c>
      <c r="AT51" s="3" t="s">
        <v>59</v>
      </c>
      <c r="AU51" s="3"/>
      <c r="AV51" s="3"/>
      <c r="AW51" s="3"/>
      <c r="AX51" s="3"/>
    </row>
    <row r="52" spans="1:62" ht="101.5" x14ac:dyDescent="0.35">
      <c r="A52" s="7" t="s">
        <v>360</v>
      </c>
      <c r="B52" s="3">
        <v>89657</v>
      </c>
      <c r="C52" s="3" t="str">
        <f>"011527782"</f>
        <v>011527782</v>
      </c>
      <c r="D52" s="3" t="str">
        <f>""</f>
        <v/>
      </c>
      <c r="E52" s="3" t="s">
        <v>60</v>
      </c>
      <c r="F52" s="3" t="s">
        <v>168</v>
      </c>
      <c r="G52" s="3" t="str">
        <f>"14"</f>
        <v>14</v>
      </c>
      <c r="H52" s="3" t="str">
        <f>"1408"</f>
        <v>1408</v>
      </c>
      <c r="I52" s="3" t="str">
        <f>"1408011"</f>
        <v>1408011</v>
      </c>
      <c r="J52" s="3" t="str">
        <f>"0920806"</f>
        <v>0920806</v>
      </c>
      <c r="K52" s="3" t="str">
        <f>"25984"</f>
        <v>25984</v>
      </c>
      <c r="L52" s="3" t="s">
        <v>62</v>
      </c>
      <c r="M52" s="3" t="s">
        <v>169</v>
      </c>
      <c r="N52" s="3" t="s">
        <v>170</v>
      </c>
      <c r="O52" s="3" t="s">
        <v>171</v>
      </c>
      <c r="P52" s="3" t="s">
        <v>66</v>
      </c>
      <c r="Q52" s="3" t="s">
        <v>172</v>
      </c>
      <c r="R52" s="3" t="str">
        <f>"3"</f>
        <v>3</v>
      </c>
      <c r="S52" s="3" t="str">
        <f>""</f>
        <v/>
      </c>
      <c r="T52" s="3" t="str">
        <f>"05-119"</f>
        <v>05-119</v>
      </c>
      <c r="U52" s="3" t="str">
        <f>"Legionowo"</f>
        <v>Legionowo</v>
      </c>
      <c r="V52" s="3" t="str">
        <f>"227745950"</f>
        <v>227745950</v>
      </c>
      <c r="W52" s="3" t="str">
        <f>""</f>
        <v/>
      </c>
      <c r="X52" s="3" t="s">
        <v>173</v>
      </c>
      <c r="Y52" s="3" t="s">
        <v>174</v>
      </c>
      <c r="Z52" s="3" t="s">
        <v>70</v>
      </c>
      <c r="AA52" s="3" t="s">
        <v>71</v>
      </c>
      <c r="AB52" s="3" t="s">
        <v>72</v>
      </c>
      <c r="AC52" s="3" t="s">
        <v>175</v>
      </c>
      <c r="AD52" s="4">
        <v>31717</v>
      </c>
      <c r="AE52" s="4">
        <v>31717</v>
      </c>
      <c r="AF52" s="3"/>
      <c r="AG52" s="3" t="s">
        <v>27</v>
      </c>
      <c r="AH52" s="3" t="s">
        <v>176</v>
      </c>
      <c r="AI52" s="3" t="str">
        <f>"015891295"</f>
        <v>015891295</v>
      </c>
      <c r="AJ52" s="3" t="str">
        <f>""</f>
        <v/>
      </c>
      <c r="AK52" s="3" t="s">
        <v>62</v>
      </c>
      <c r="AL52" s="3" t="s">
        <v>169</v>
      </c>
      <c r="AM52" s="3" t="s">
        <v>170</v>
      </c>
      <c r="AN52" s="3" t="str">
        <f>"samodzielna"</f>
        <v>samodzielna</v>
      </c>
      <c r="AO52" s="3"/>
      <c r="AP52" s="3"/>
      <c r="AQ52" s="3"/>
      <c r="AR52" s="3">
        <v>916</v>
      </c>
      <c r="AS52" s="3"/>
      <c r="AT52" s="3" t="s">
        <v>100</v>
      </c>
      <c r="AU52" s="3"/>
      <c r="AV52" s="3"/>
      <c r="AW52" s="3"/>
      <c r="AX52" s="3"/>
    </row>
    <row r="53" spans="1:62" x14ac:dyDescent="0.35">
      <c r="A53" s="3"/>
      <c r="B53" s="3"/>
      <c r="C53" s="6" t="s">
        <v>1</v>
      </c>
      <c r="D53" s="8"/>
      <c r="E53" s="8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62" ht="58" x14ac:dyDescent="0.35">
      <c r="A54" s="3" t="s">
        <v>361</v>
      </c>
      <c r="B54" s="3">
        <v>34220</v>
      </c>
      <c r="C54" s="3" t="str">
        <f>"015822147"</f>
        <v>015822147</v>
      </c>
      <c r="D54" s="3" t="str">
        <f>"5361558418"</f>
        <v>5361558418</v>
      </c>
      <c r="E54" s="3" t="s">
        <v>269</v>
      </c>
      <c r="F54" s="3" t="s">
        <v>279</v>
      </c>
      <c r="G54" s="3" t="str">
        <f>"14"</f>
        <v>14</v>
      </c>
      <c r="H54" s="3" t="str">
        <f>"1408"</f>
        <v>1408</v>
      </c>
      <c r="I54" s="3" t="str">
        <f>"1408052"</f>
        <v>1408052</v>
      </c>
      <c r="J54" s="3" t="str">
        <f>"0008510"</f>
        <v>0008510</v>
      </c>
      <c r="K54" s="3" t="str">
        <f>"14027"</f>
        <v>14027</v>
      </c>
      <c r="L54" s="3" t="s">
        <v>62</v>
      </c>
      <c r="M54" s="3" t="s">
        <v>169</v>
      </c>
      <c r="N54" s="3" t="s">
        <v>280</v>
      </c>
      <c r="O54" s="3" t="s">
        <v>281</v>
      </c>
      <c r="P54" s="3" t="s">
        <v>133</v>
      </c>
      <c r="Q54" s="3" t="s">
        <v>282</v>
      </c>
      <c r="R54" s="3" t="str">
        <f>"7"</f>
        <v>7</v>
      </c>
      <c r="S54" s="3" t="str">
        <f>""</f>
        <v/>
      </c>
      <c r="T54" s="3" t="str">
        <f>"05-140"</f>
        <v>05-140</v>
      </c>
      <c r="U54" s="3" t="str">
        <f>"Serock"</f>
        <v>Serock</v>
      </c>
      <c r="V54" s="3" t="str">
        <f>"227742021"</f>
        <v>227742021</v>
      </c>
      <c r="W54" s="3" t="str">
        <f>""</f>
        <v/>
      </c>
      <c r="X54" s="3" t="s">
        <v>283</v>
      </c>
      <c r="Y54" s="3" t="s">
        <v>284</v>
      </c>
      <c r="Z54" s="3" t="s">
        <v>70</v>
      </c>
      <c r="AA54" s="3" t="s">
        <v>71</v>
      </c>
      <c r="AB54" s="3" t="s">
        <v>72</v>
      </c>
      <c r="AC54" s="3"/>
      <c r="AD54" s="4">
        <v>37500</v>
      </c>
      <c r="AE54" s="4">
        <v>37500</v>
      </c>
      <c r="AF54" s="3"/>
      <c r="AG54" s="3" t="s">
        <v>27</v>
      </c>
      <c r="AH54" s="3" t="s">
        <v>285</v>
      </c>
      <c r="AI54" s="3" t="str">
        <f>"013270577"</f>
        <v>013270577</v>
      </c>
      <c r="AJ54" s="3" t="str">
        <f>""</f>
        <v/>
      </c>
      <c r="AK54" s="3" t="s">
        <v>62</v>
      </c>
      <c r="AL54" s="3" t="s">
        <v>169</v>
      </c>
      <c r="AM54" s="3" t="s">
        <v>280</v>
      </c>
      <c r="AN54" s="3" t="str">
        <f>"szkoła/placówka w zespole"</f>
        <v>szkoła/placówka w zespole</v>
      </c>
      <c r="AO54" s="3">
        <v>8530</v>
      </c>
      <c r="AP54" s="3" t="s">
        <v>98</v>
      </c>
      <c r="AQ54" s="3" t="s">
        <v>286</v>
      </c>
      <c r="AR54" s="3">
        <v>342</v>
      </c>
      <c r="AS54" s="3"/>
      <c r="AT54" s="3" t="s">
        <v>287</v>
      </c>
      <c r="AU54" s="3"/>
      <c r="AV54" s="3"/>
      <c r="AW54" s="3"/>
      <c r="AX54" s="3"/>
      <c r="BJ54" s="3"/>
    </row>
    <row r="55" spans="1:62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62" x14ac:dyDescent="0.35">
      <c r="A56" s="3"/>
      <c r="B56" s="3"/>
      <c r="C56" s="9" t="s">
        <v>7</v>
      </c>
      <c r="D56" s="8"/>
      <c r="E56" s="8"/>
      <c r="F56" s="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62" x14ac:dyDescent="0.35">
      <c r="A57" s="3"/>
      <c r="B57" s="3"/>
      <c r="C57" s="8"/>
      <c r="D57" s="8"/>
      <c r="E57" s="8"/>
      <c r="F57" s="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62" x14ac:dyDescent="0.35">
      <c r="A58" s="3"/>
      <c r="B58" s="3"/>
      <c r="C58" s="6" t="s">
        <v>0</v>
      </c>
      <c r="D58" s="8"/>
      <c r="E58" s="8"/>
      <c r="F58" s="8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62" ht="43.5" x14ac:dyDescent="0.35">
      <c r="A59" s="3" t="s">
        <v>342</v>
      </c>
      <c r="B59" s="3" t="s">
        <v>15</v>
      </c>
      <c r="C59" s="3" t="s">
        <v>16</v>
      </c>
      <c r="D59" s="3" t="s">
        <v>17</v>
      </c>
      <c r="E59" s="3" t="s">
        <v>18</v>
      </c>
      <c r="F59" s="3" t="s">
        <v>19</v>
      </c>
      <c r="G59" s="3" t="s">
        <v>20</v>
      </c>
      <c r="H59" s="3" t="s">
        <v>21</v>
      </c>
      <c r="I59" s="3" t="s">
        <v>22</v>
      </c>
      <c r="J59" s="3" t="s">
        <v>23</v>
      </c>
      <c r="K59" s="3" t="s">
        <v>24</v>
      </c>
      <c r="L59" s="3" t="s">
        <v>25</v>
      </c>
      <c r="M59" s="3" t="s">
        <v>26</v>
      </c>
      <c r="N59" s="3" t="s">
        <v>27</v>
      </c>
      <c r="O59" s="3" t="s">
        <v>28</v>
      </c>
      <c r="P59" s="3" t="s">
        <v>29</v>
      </c>
      <c r="Q59" s="3" t="s">
        <v>30</v>
      </c>
      <c r="R59" s="3" t="s">
        <v>31</v>
      </c>
      <c r="S59" s="3" t="s">
        <v>32</v>
      </c>
      <c r="T59" s="3" t="s">
        <v>33</v>
      </c>
      <c r="U59" s="3" t="s">
        <v>34</v>
      </c>
      <c r="V59" s="3" t="s">
        <v>35</v>
      </c>
      <c r="W59" s="3" t="s">
        <v>36</v>
      </c>
      <c r="X59" s="3" t="s">
        <v>37</v>
      </c>
      <c r="Y59" s="3" t="s">
        <v>38</v>
      </c>
      <c r="Z59" s="3" t="s">
        <v>39</v>
      </c>
      <c r="AA59" s="3" t="s">
        <v>40</v>
      </c>
      <c r="AB59" s="3" t="s">
        <v>41</v>
      </c>
      <c r="AC59" s="3" t="s">
        <v>42</v>
      </c>
      <c r="AD59" s="3" t="s">
        <v>43</v>
      </c>
      <c r="AE59" s="3" t="s">
        <v>44</v>
      </c>
      <c r="AF59" s="3" t="s">
        <v>45</v>
      </c>
      <c r="AG59" s="3" t="s">
        <v>46</v>
      </c>
      <c r="AH59" s="3" t="s">
        <v>47</v>
      </c>
      <c r="AI59" s="3" t="s">
        <v>48</v>
      </c>
      <c r="AJ59" s="3" t="s">
        <v>49</v>
      </c>
      <c r="AK59" s="3" t="s">
        <v>50</v>
      </c>
      <c r="AL59" s="3" t="s">
        <v>51</v>
      </c>
      <c r="AM59" s="3" t="s">
        <v>52</v>
      </c>
      <c r="AN59" s="3" t="s">
        <v>53</v>
      </c>
      <c r="AO59" s="3" t="s">
        <v>54</v>
      </c>
      <c r="AP59" s="3" t="s">
        <v>55</v>
      </c>
      <c r="AQ59" s="3" t="s">
        <v>56</v>
      </c>
      <c r="AR59" s="3" t="s">
        <v>57</v>
      </c>
      <c r="AS59" s="3" t="s">
        <v>58</v>
      </c>
      <c r="AT59" s="3" t="s">
        <v>59</v>
      </c>
      <c r="AU59" s="3"/>
      <c r="AV59" s="3"/>
      <c r="AW59" s="3"/>
      <c r="AX59" s="3"/>
    </row>
    <row r="60" spans="1:62" ht="116" x14ac:dyDescent="0.35">
      <c r="A60" s="3" t="s">
        <v>362</v>
      </c>
      <c r="B60" s="3">
        <v>15255</v>
      </c>
      <c r="C60" s="3" t="str">
        <f>"001137557"</f>
        <v>001137557</v>
      </c>
      <c r="D60" s="3" t="str">
        <f>"5691632856"</f>
        <v>5691632856</v>
      </c>
      <c r="E60" s="3" t="s">
        <v>60</v>
      </c>
      <c r="F60" s="3" t="s">
        <v>177</v>
      </c>
      <c r="G60" s="3" t="str">
        <f>"14"</f>
        <v>14</v>
      </c>
      <c r="H60" s="3" t="str">
        <f>"1413"</f>
        <v>1413</v>
      </c>
      <c r="I60" s="3" t="str">
        <f>"1413011"</f>
        <v>1413011</v>
      </c>
      <c r="J60" s="3" t="str">
        <f>"0930696"</f>
        <v>0930696</v>
      </c>
      <c r="K60" s="3" t="str">
        <f>"26507"</f>
        <v>26507</v>
      </c>
      <c r="L60" s="3" t="s">
        <v>62</v>
      </c>
      <c r="M60" s="3" t="s">
        <v>178</v>
      </c>
      <c r="N60" s="3" t="s">
        <v>179</v>
      </c>
      <c r="O60" s="3" t="s">
        <v>180</v>
      </c>
      <c r="P60" s="3" t="s">
        <v>66</v>
      </c>
      <c r="Q60" s="3" t="s">
        <v>181</v>
      </c>
      <c r="R60" s="3" t="str">
        <f>"5"</f>
        <v>5</v>
      </c>
      <c r="S60" s="3" t="str">
        <f>""</f>
        <v/>
      </c>
      <c r="T60" s="3" t="str">
        <f>"06-500"</f>
        <v>06-500</v>
      </c>
      <c r="U60" s="3" t="str">
        <f>"Mława"</f>
        <v>Mława</v>
      </c>
      <c r="V60" s="3" t="str">
        <f>"236543737"</f>
        <v>236543737</v>
      </c>
      <c r="W60" s="3" t="str">
        <f>"236553448"</f>
        <v>236553448</v>
      </c>
      <c r="X60" s="3" t="s">
        <v>182</v>
      </c>
      <c r="Y60" s="3" t="s">
        <v>183</v>
      </c>
      <c r="Z60" s="3" t="s">
        <v>70</v>
      </c>
      <c r="AA60" s="3" t="s">
        <v>71</v>
      </c>
      <c r="AB60" s="3" t="s">
        <v>72</v>
      </c>
      <c r="AC60" s="3" t="s">
        <v>184</v>
      </c>
      <c r="AD60" s="4">
        <v>36404</v>
      </c>
      <c r="AE60" s="4">
        <v>36404</v>
      </c>
      <c r="AF60" s="3"/>
      <c r="AG60" s="3" t="s">
        <v>27</v>
      </c>
      <c r="AH60" s="3" t="s">
        <v>185</v>
      </c>
      <c r="AI60" s="3" t="str">
        <f>"130377830"</f>
        <v>130377830</v>
      </c>
      <c r="AJ60" s="3" t="str">
        <f>""</f>
        <v/>
      </c>
      <c r="AK60" s="3" t="s">
        <v>62</v>
      </c>
      <c r="AL60" s="3" t="s">
        <v>178</v>
      </c>
      <c r="AM60" s="3" t="s">
        <v>179</v>
      </c>
      <c r="AN60" s="3" t="str">
        <f>"samodzielna"</f>
        <v>samodzielna</v>
      </c>
      <c r="AO60" s="3"/>
      <c r="AP60" s="3"/>
      <c r="AQ60" s="3"/>
      <c r="AR60" s="3">
        <v>516</v>
      </c>
      <c r="AS60" s="3" t="s">
        <v>186</v>
      </c>
      <c r="AT60" s="3" t="s">
        <v>100</v>
      </c>
      <c r="AU60" s="3"/>
      <c r="AV60" s="3"/>
      <c r="AW60" s="3"/>
      <c r="AX60" s="3"/>
    </row>
    <row r="61" spans="1:62" x14ac:dyDescent="0.35">
      <c r="A61" s="3"/>
      <c r="B61" s="3"/>
      <c r="C61" s="6" t="s">
        <v>1</v>
      </c>
      <c r="D61" s="8"/>
      <c r="E61" s="8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</row>
    <row r="62" spans="1:62" ht="58" x14ac:dyDescent="0.35">
      <c r="A62" s="3" t="s">
        <v>363</v>
      </c>
      <c r="B62" s="3">
        <v>27076</v>
      </c>
      <c r="C62" s="3" t="str">
        <f>"130950809"</f>
        <v>130950809</v>
      </c>
      <c r="D62" s="3" t="str">
        <f>""</f>
        <v/>
      </c>
      <c r="E62" s="3" t="s">
        <v>218</v>
      </c>
      <c r="F62" s="3" t="s">
        <v>235</v>
      </c>
      <c r="G62" s="3" t="str">
        <f>"14"</f>
        <v>14</v>
      </c>
      <c r="H62" s="3" t="str">
        <f>"1413"</f>
        <v>1413</v>
      </c>
      <c r="I62" s="3" t="str">
        <f>"1413011"</f>
        <v>1413011</v>
      </c>
      <c r="J62" s="3" t="str">
        <f>"0930696"</f>
        <v>0930696</v>
      </c>
      <c r="K62" s="3" t="str">
        <f>"13276"</f>
        <v>13276</v>
      </c>
      <c r="L62" s="3" t="s">
        <v>62</v>
      </c>
      <c r="M62" s="3" t="s">
        <v>178</v>
      </c>
      <c r="N62" s="3" t="s">
        <v>179</v>
      </c>
      <c r="O62" s="3" t="s">
        <v>180</v>
      </c>
      <c r="P62" s="3" t="s">
        <v>66</v>
      </c>
      <c r="Q62" s="3" t="s">
        <v>236</v>
      </c>
      <c r="R62" s="3" t="str">
        <f>"29b"</f>
        <v>29b</v>
      </c>
      <c r="S62" s="3" t="str">
        <f>""</f>
        <v/>
      </c>
      <c r="T62" s="3" t="str">
        <f>"06-500"</f>
        <v>06-500</v>
      </c>
      <c r="U62" s="3" t="str">
        <f>"Mława"</f>
        <v>Mława</v>
      </c>
      <c r="V62" s="3" t="str">
        <f>"236543733"</f>
        <v>236543733</v>
      </c>
      <c r="W62" s="3" t="str">
        <f>"236543013"</f>
        <v>236543013</v>
      </c>
      <c r="X62" s="3" t="s">
        <v>237</v>
      </c>
      <c r="Y62" s="3" t="s">
        <v>238</v>
      </c>
      <c r="Z62" s="3" t="s">
        <v>70</v>
      </c>
      <c r="AA62" s="3" t="s">
        <v>71</v>
      </c>
      <c r="AB62" s="3" t="s">
        <v>72</v>
      </c>
      <c r="AC62" s="3"/>
      <c r="AD62" s="4">
        <v>37314</v>
      </c>
      <c r="AE62" s="4">
        <v>37500</v>
      </c>
      <c r="AF62" s="3"/>
      <c r="AG62" s="3" t="s">
        <v>222</v>
      </c>
      <c r="AH62" s="3" t="s">
        <v>239</v>
      </c>
      <c r="AI62" s="3" t="str">
        <f>"130377735"</f>
        <v>130377735</v>
      </c>
      <c r="AJ62" s="3" t="str">
        <f>""</f>
        <v/>
      </c>
      <c r="AK62" s="3" t="s">
        <v>62</v>
      </c>
      <c r="AL62" s="3" t="s">
        <v>178</v>
      </c>
      <c r="AM62" s="3" t="s">
        <v>179</v>
      </c>
      <c r="AN62" s="3" t="str">
        <f>"szkoła/placówka w zespole"</f>
        <v>szkoła/placówka w zespole</v>
      </c>
      <c r="AO62" s="3">
        <v>15475</v>
      </c>
      <c r="AP62" s="3" t="s">
        <v>98</v>
      </c>
      <c r="AQ62" s="3" t="s">
        <v>240</v>
      </c>
      <c r="AR62" s="3">
        <v>408</v>
      </c>
      <c r="AS62" s="3"/>
      <c r="AT62" s="3" t="s">
        <v>241</v>
      </c>
      <c r="AU62" s="3"/>
      <c r="AV62" s="3"/>
      <c r="AW62" s="3"/>
      <c r="AX62" s="3"/>
    </row>
    <row r="63" spans="1:62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62" x14ac:dyDescent="0.35">
      <c r="A64" s="3"/>
      <c r="B64" s="3"/>
      <c r="C64" s="9" t="s">
        <v>8</v>
      </c>
      <c r="D64" s="8"/>
      <c r="E64" s="8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x14ac:dyDescent="0.35">
      <c r="A65" s="3"/>
      <c r="B65" s="3"/>
      <c r="C65" s="8"/>
      <c r="D65" s="8"/>
      <c r="E65" s="8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x14ac:dyDescent="0.35">
      <c r="A66" s="3"/>
      <c r="B66" s="3"/>
      <c r="C66" s="6" t="s">
        <v>0</v>
      </c>
      <c r="D66" s="8"/>
      <c r="E66" s="8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43.5" x14ac:dyDescent="0.35">
      <c r="A67" s="3" t="s">
        <v>342</v>
      </c>
      <c r="B67" s="3" t="s">
        <v>15</v>
      </c>
      <c r="C67" s="3" t="s">
        <v>16</v>
      </c>
      <c r="D67" s="3" t="s">
        <v>17</v>
      </c>
      <c r="E67" s="3" t="s">
        <v>18</v>
      </c>
      <c r="F67" s="3" t="s">
        <v>19</v>
      </c>
      <c r="G67" s="3" t="s">
        <v>20</v>
      </c>
      <c r="H67" s="3" t="s">
        <v>21</v>
      </c>
      <c r="I67" s="3" t="s">
        <v>22</v>
      </c>
      <c r="J67" s="3" t="s">
        <v>23</v>
      </c>
      <c r="K67" s="3" t="s">
        <v>24</v>
      </c>
      <c r="L67" s="3" t="s">
        <v>25</v>
      </c>
      <c r="M67" s="3" t="s">
        <v>26</v>
      </c>
      <c r="N67" s="3" t="s">
        <v>27</v>
      </c>
      <c r="O67" s="3" t="s">
        <v>28</v>
      </c>
      <c r="P67" s="3" t="s">
        <v>29</v>
      </c>
      <c r="Q67" s="3" t="s">
        <v>30</v>
      </c>
      <c r="R67" s="3" t="s">
        <v>31</v>
      </c>
      <c r="S67" s="3" t="s">
        <v>32</v>
      </c>
      <c r="T67" s="3" t="s">
        <v>33</v>
      </c>
      <c r="U67" s="3" t="s">
        <v>34</v>
      </c>
      <c r="V67" s="3" t="s">
        <v>35</v>
      </c>
      <c r="W67" s="3" t="s">
        <v>36</v>
      </c>
      <c r="X67" s="3" t="s">
        <v>37</v>
      </c>
      <c r="Y67" s="3" t="s">
        <v>38</v>
      </c>
      <c r="Z67" s="3" t="s">
        <v>39</v>
      </c>
      <c r="AA67" s="3" t="s">
        <v>40</v>
      </c>
      <c r="AB67" s="3" t="s">
        <v>41</v>
      </c>
      <c r="AC67" s="3" t="s">
        <v>42</v>
      </c>
      <c r="AD67" s="3" t="s">
        <v>43</v>
      </c>
      <c r="AE67" s="3" t="s">
        <v>44</v>
      </c>
      <c r="AF67" s="3" t="s">
        <v>45</v>
      </c>
      <c r="AG67" s="3" t="s">
        <v>46</v>
      </c>
      <c r="AH67" s="3" t="s">
        <v>47</v>
      </c>
      <c r="AI67" s="3" t="s">
        <v>48</v>
      </c>
      <c r="AJ67" s="3" t="s">
        <v>49</v>
      </c>
      <c r="AK67" s="3" t="s">
        <v>50</v>
      </c>
      <c r="AL67" s="3" t="s">
        <v>51</v>
      </c>
      <c r="AM67" s="3" t="s">
        <v>52</v>
      </c>
      <c r="AN67" s="3" t="s">
        <v>53</v>
      </c>
      <c r="AO67" s="3" t="s">
        <v>54</v>
      </c>
      <c r="AP67" s="3" t="s">
        <v>55</v>
      </c>
      <c r="AQ67" s="3" t="s">
        <v>56</v>
      </c>
      <c r="AR67" s="3" t="s">
        <v>57</v>
      </c>
      <c r="AS67" s="3" t="s">
        <v>58</v>
      </c>
      <c r="AT67" s="3" t="s">
        <v>59</v>
      </c>
      <c r="AU67" s="3"/>
      <c r="AV67" s="3"/>
      <c r="AW67" s="3"/>
      <c r="AX67" s="3"/>
    </row>
    <row r="68" spans="1:50" ht="101.5" x14ac:dyDescent="0.35">
      <c r="A68" s="3" t="s">
        <v>364</v>
      </c>
      <c r="B68" s="3">
        <v>58311</v>
      </c>
      <c r="C68" s="3" t="str">
        <f>"000800048"</f>
        <v>000800048</v>
      </c>
      <c r="D68" s="3" t="str">
        <f>"5311538371"</f>
        <v>5311538371</v>
      </c>
      <c r="E68" s="3" t="s">
        <v>60</v>
      </c>
      <c r="F68" s="3" t="s">
        <v>129</v>
      </c>
      <c r="G68" s="3" t="str">
        <f>"14"</f>
        <v>14</v>
      </c>
      <c r="H68" s="3" t="str">
        <f>"1414"</f>
        <v>1414</v>
      </c>
      <c r="I68" s="3" t="str">
        <f>"1414022"</f>
        <v>1414022</v>
      </c>
      <c r="J68" s="3" t="str">
        <f>"0001152"</f>
        <v>0001152</v>
      </c>
      <c r="K68" s="3" t="str">
        <f>""</f>
        <v/>
      </c>
      <c r="L68" s="3" t="s">
        <v>62</v>
      </c>
      <c r="M68" s="3" t="s">
        <v>130</v>
      </c>
      <c r="N68" s="3" t="s">
        <v>131</v>
      </c>
      <c r="O68" s="3" t="s">
        <v>132</v>
      </c>
      <c r="P68" s="3" t="s">
        <v>133</v>
      </c>
      <c r="Q68" s="3"/>
      <c r="R68" s="3" t="str">
        <f>"55"</f>
        <v>55</v>
      </c>
      <c r="S68" s="3" t="str">
        <f>""</f>
        <v/>
      </c>
      <c r="T68" s="3" t="str">
        <f>"05-152"</f>
        <v>05-152</v>
      </c>
      <c r="U68" s="3" t="str">
        <f>"Cząstków Mazowiecki"</f>
        <v>Cząstków Mazowiecki</v>
      </c>
      <c r="V68" s="3" t="str">
        <f>"600692375"</f>
        <v>600692375</v>
      </c>
      <c r="W68" s="3" t="str">
        <f>"227850011"</f>
        <v>227850011</v>
      </c>
      <c r="X68" s="3" t="s">
        <v>134</v>
      </c>
      <c r="Y68" s="3" t="s">
        <v>135</v>
      </c>
      <c r="Z68" s="3" t="s">
        <v>70</v>
      </c>
      <c r="AA68" s="3" t="s">
        <v>71</v>
      </c>
      <c r="AB68" s="3" t="s">
        <v>72</v>
      </c>
      <c r="AC68" s="3" t="s">
        <v>136</v>
      </c>
      <c r="AD68" s="4">
        <v>36404</v>
      </c>
      <c r="AE68" s="4">
        <v>36404</v>
      </c>
      <c r="AF68" s="3"/>
      <c r="AG68" s="3" t="s">
        <v>27</v>
      </c>
      <c r="AH68" s="3" t="s">
        <v>137</v>
      </c>
      <c r="AI68" s="3" t="str">
        <f>"013270413"</f>
        <v>013270413</v>
      </c>
      <c r="AJ68" s="3" t="str">
        <f>""</f>
        <v/>
      </c>
      <c r="AK68" s="3" t="s">
        <v>62</v>
      </c>
      <c r="AL68" s="3" t="s">
        <v>130</v>
      </c>
      <c r="AM68" s="3" t="s">
        <v>131</v>
      </c>
      <c r="AN68" s="3" t="str">
        <f>"samodzielna"</f>
        <v>samodzielna</v>
      </c>
      <c r="AO68" s="3"/>
      <c r="AP68" s="3"/>
      <c r="AQ68" s="3"/>
      <c r="AR68" s="3">
        <v>103</v>
      </c>
      <c r="AS68" s="3"/>
      <c r="AT68" s="3" t="s">
        <v>76</v>
      </c>
      <c r="AU68" s="3"/>
      <c r="AV68" s="3">
        <v>163</v>
      </c>
      <c r="AW68" s="3"/>
      <c r="AX68" s="3"/>
    </row>
    <row r="69" spans="1:50" ht="116" x14ac:dyDescent="0.35">
      <c r="A69" s="7" t="s">
        <v>365</v>
      </c>
      <c r="B69" s="3">
        <v>133234</v>
      </c>
      <c r="C69" s="3" t="str">
        <f>"366860213"</f>
        <v>366860213</v>
      </c>
      <c r="D69" s="3" t="str">
        <f>"5311698809"</f>
        <v>5311698809</v>
      </c>
      <c r="E69" s="3" t="s">
        <v>60</v>
      </c>
      <c r="F69" s="3" t="s">
        <v>209</v>
      </c>
      <c r="G69" s="3" t="str">
        <f>"14"</f>
        <v>14</v>
      </c>
      <c r="H69" s="3" t="str">
        <f>"1414"</f>
        <v>1414</v>
      </c>
      <c r="I69" s="3" t="str">
        <f>"1414011"</f>
        <v>1414011</v>
      </c>
      <c r="J69" s="3" t="str">
        <f>"0921148"</f>
        <v>0921148</v>
      </c>
      <c r="K69" s="3" t="str">
        <f>"20291"</f>
        <v>20291</v>
      </c>
      <c r="L69" s="3" t="s">
        <v>62</v>
      </c>
      <c r="M69" s="3" t="s">
        <v>130</v>
      </c>
      <c r="N69" s="3" t="s">
        <v>210</v>
      </c>
      <c r="O69" s="3" t="s">
        <v>211</v>
      </c>
      <c r="P69" s="3" t="s">
        <v>66</v>
      </c>
      <c r="Q69" s="3" t="s">
        <v>212</v>
      </c>
      <c r="R69" s="3" t="str">
        <f>"2"</f>
        <v>2</v>
      </c>
      <c r="S69" s="3" t="str">
        <f>""</f>
        <v/>
      </c>
      <c r="T69" s="3" t="str">
        <f>"05-100"</f>
        <v>05-100</v>
      </c>
      <c r="U69" s="3" t="str">
        <f>"Nowy Dwór Mazowiecki"</f>
        <v>Nowy Dwór Mazowiecki</v>
      </c>
      <c r="V69" s="3" t="str">
        <f>"227752424"</f>
        <v>227752424</v>
      </c>
      <c r="W69" s="3" t="str">
        <f>""</f>
        <v/>
      </c>
      <c r="X69" s="3" t="s">
        <v>213</v>
      </c>
      <c r="Y69" s="3" t="s">
        <v>214</v>
      </c>
      <c r="Z69" s="3" t="s">
        <v>70</v>
      </c>
      <c r="AA69" s="3" t="s">
        <v>71</v>
      </c>
      <c r="AB69" s="3" t="s">
        <v>72</v>
      </c>
      <c r="AC69" s="3" t="s">
        <v>215</v>
      </c>
      <c r="AD69" s="4">
        <v>42808</v>
      </c>
      <c r="AE69" s="4">
        <v>42979</v>
      </c>
      <c r="AF69" s="3"/>
      <c r="AG69" s="3" t="s">
        <v>27</v>
      </c>
      <c r="AH69" s="3" t="s">
        <v>216</v>
      </c>
      <c r="AI69" s="3" t="str">
        <f>"013270347"</f>
        <v>013270347</v>
      </c>
      <c r="AJ69" s="3" t="str">
        <f>"5311000938"</f>
        <v>5311000938</v>
      </c>
      <c r="AK69" s="3" t="s">
        <v>62</v>
      </c>
      <c r="AL69" s="3" t="s">
        <v>130</v>
      </c>
      <c r="AM69" s="3" t="s">
        <v>210</v>
      </c>
      <c r="AN69" s="3" t="str">
        <f>"samodzielna"</f>
        <v>samodzielna</v>
      </c>
      <c r="AO69" s="3"/>
      <c r="AP69" s="3"/>
      <c r="AQ69" s="3"/>
      <c r="AR69" s="3">
        <v>403</v>
      </c>
      <c r="AS69" s="3" t="s">
        <v>217</v>
      </c>
      <c r="AT69" s="3" t="s">
        <v>100</v>
      </c>
      <c r="AU69" s="3"/>
      <c r="AV69" s="3">
        <v>22</v>
      </c>
      <c r="AW69" s="3"/>
      <c r="AX69" s="3"/>
    </row>
    <row r="70" spans="1:50" x14ac:dyDescent="0.35">
      <c r="A70" s="3"/>
      <c r="B70" s="3"/>
      <c r="C70" s="6" t="s">
        <v>1</v>
      </c>
      <c r="D70" s="8"/>
      <c r="E70" s="8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01.5" x14ac:dyDescent="0.35">
      <c r="A71" s="3" t="s">
        <v>366</v>
      </c>
      <c r="B71" s="3">
        <v>105828</v>
      </c>
      <c r="C71" s="3" t="str">
        <f>"015526905"</f>
        <v>015526905</v>
      </c>
      <c r="D71" s="3" t="str">
        <f>""</f>
        <v/>
      </c>
      <c r="E71" s="3" t="s">
        <v>218</v>
      </c>
      <c r="F71" s="3" t="s">
        <v>242</v>
      </c>
      <c r="G71" s="3" t="str">
        <f>"14"</f>
        <v>14</v>
      </c>
      <c r="H71" s="3" t="str">
        <f>"1414"</f>
        <v>1414</v>
      </c>
      <c r="I71" s="3" t="str">
        <f>"1414052"</f>
        <v>1414052</v>
      </c>
      <c r="J71" s="3" t="str">
        <f>"0006860"</f>
        <v>0006860</v>
      </c>
      <c r="K71" s="3" t="str">
        <f>"14825"</f>
        <v>14825</v>
      </c>
      <c r="L71" s="3" t="s">
        <v>62</v>
      </c>
      <c r="M71" s="3" t="s">
        <v>130</v>
      </c>
      <c r="N71" s="3" t="s">
        <v>243</v>
      </c>
      <c r="O71" s="3" t="s">
        <v>244</v>
      </c>
      <c r="P71" s="3" t="s">
        <v>133</v>
      </c>
      <c r="Q71" s="3" t="s">
        <v>245</v>
      </c>
      <c r="R71" s="3" t="str">
        <f>"6"</f>
        <v>6</v>
      </c>
      <c r="S71" s="3" t="str">
        <f>""</f>
        <v/>
      </c>
      <c r="T71" s="3" t="str">
        <f>"05-180"</f>
        <v>05-180</v>
      </c>
      <c r="U71" s="3" t="str">
        <f>"Pomiechówek"</f>
        <v>Pomiechówek</v>
      </c>
      <c r="V71" s="3" t="str">
        <f>"227854143"</f>
        <v>227854143</v>
      </c>
      <c r="W71" s="3" t="str">
        <f>"227854475"</f>
        <v>227854475</v>
      </c>
      <c r="X71" s="3" t="s">
        <v>246</v>
      </c>
      <c r="Y71" s="3" t="s">
        <v>247</v>
      </c>
      <c r="Z71" s="3" t="s">
        <v>70</v>
      </c>
      <c r="AA71" s="3" t="s">
        <v>71</v>
      </c>
      <c r="AB71" s="3" t="s">
        <v>72</v>
      </c>
      <c r="AC71" s="3"/>
      <c r="AD71" s="4">
        <v>37500</v>
      </c>
      <c r="AE71" s="4">
        <v>37500</v>
      </c>
      <c r="AF71" s="3"/>
      <c r="AG71" s="3" t="s">
        <v>27</v>
      </c>
      <c r="AH71" s="3" t="s">
        <v>248</v>
      </c>
      <c r="AI71" s="3" t="str">
        <f>"013270531"</f>
        <v>013270531</v>
      </c>
      <c r="AJ71" s="3" t="str">
        <f>""</f>
        <v/>
      </c>
      <c r="AK71" s="3" t="s">
        <v>62</v>
      </c>
      <c r="AL71" s="3" t="s">
        <v>130</v>
      </c>
      <c r="AM71" s="3" t="s">
        <v>243</v>
      </c>
      <c r="AN71" s="3" t="str">
        <f>"szkoła/placówka w zespole"</f>
        <v>szkoła/placówka w zespole</v>
      </c>
      <c r="AO71" s="3">
        <v>73025</v>
      </c>
      <c r="AP71" s="3" t="s">
        <v>98</v>
      </c>
      <c r="AQ71" s="3" t="s">
        <v>249</v>
      </c>
      <c r="AR71" s="3">
        <v>286</v>
      </c>
      <c r="AS71" s="3"/>
      <c r="AT71" s="3" t="s">
        <v>250</v>
      </c>
      <c r="AU71" s="3"/>
      <c r="AV71" s="3"/>
      <c r="AW71" s="3"/>
      <c r="AX71" s="3"/>
    </row>
    <row r="72" spans="1:50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x14ac:dyDescent="0.35">
      <c r="A73" s="3"/>
      <c r="B73" s="3"/>
      <c r="C73" s="9" t="s">
        <v>9</v>
      </c>
      <c r="D73" s="8"/>
      <c r="E73" s="8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x14ac:dyDescent="0.35">
      <c r="A74" s="3"/>
      <c r="B74" s="3"/>
      <c r="C74" s="8"/>
      <c r="D74" s="8"/>
      <c r="E74" s="8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x14ac:dyDescent="0.35">
      <c r="A75" s="3"/>
      <c r="B75" s="3"/>
      <c r="C75" s="6" t="s">
        <v>0</v>
      </c>
      <c r="D75" s="8"/>
      <c r="E75" s="8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43.5" x14ac:dyDescent="0.35">
      <c r="A76" s="3" t="s">
        <v>342</v>
      </c>
      <c r="B76" s="3" t="s">
        <v>15</v>
      </c>
      <c r="C76" s="3" t="s">
        <v>16</v>
      </c>
      <c r="D76" s="3" t="s">
        <v>17</v>
      </c>
      <c r="E76" s="3" t="s">
        <v>18</v>
      </c>
      <c r="F76" s="3" t="s">
        <v>19</v>
      </c>
      <c r="G76" s="3" t="s">
        <v>20</v>
      </c>
      <c r="H76" s="3" t="s">
        <v>21</v>
      </c>
      <c r="I76" s="3" t="s">
        <v>22</v>
      </c>
      <c r="J76" s="3" t="s">
        <v>23</v>
      </c>
      <c r="K76" s="3" t="s">
        <v>24</v>
      </c>
      <c r="L76" s="3" t="s">
        <v>25</v>
      </c>
      <c r="M76" s="3" t="s">
        <v>26</v>
      </c>
      <c r="N76" s="3" t="s">
        <v>27</v>
      </c>
      <c r="O76" s="3" t="s">
        <v>28</v>
      </c>
      <c r="P76" s="3" t="s">
        <v>29</v>
      </c>
      <c r="Q76" s="3" t="s">
        <v>30</v>
      </c>
      <c r="R76" s="3" t="s">
        <v>31</v>
      </c>
      <c r="S76" s="3" t="s">
        <v>32</v>
      </c>
      <c r="T76" s="3" t="s">
        <v>33</v>
      </c>
      <c r="U76" s="3" t="s">
        <v>34</v>
      </c>
      <c r="V76" s="3" t="s">
        <v>35</v>
      </c>
      <c r="W76" s="3" t="s">
        <v>36</v>
      </c>
      <c r="X76" s="3" t="s">
        <v>37</v>
      </c>
      <c r="Y76" s="3" t="s">
        <v>38</v>
      </c>
      <c r="Z76" s="3" t="s">
        <v>39</v>
      </c>
      <c r="AA76" s="3" t="s">
        <v>40</v>
      </c>
      <c r="AB76" s="3" t="s">
        <v>41</v>
      </c>
      <c r="AC76" s="3" t="s">
        <v>42</v>
      </c>
      <c r="AD76" s="3" t="s">
        <v>43</v>
      </c>
      <c r="AE76" s="3" t="s">
        <v>44</v>
      </c>
      <c r="AF76" s="3" t="s">
        <v>45</v>
      </c>
      <c r="AG76" s="3" t="s">
        <v>46</v>
      </c>
      <c r="AH76" s="3" t="s">
        <v>47</v>
      </c>
      <c r="AI76" s="3" t="s">
        <v>48</v>
      </c>
      <c r="AJ76" s="3" t="s">
        <v>49</v>
      </c>
      <c r="AK76" s="3" t="s">
        <v>50</v>
      </c>
      <c r="AL76" s="3" t="s">
        <v>51</v>
      </c>
      <c r="AM76" s="3" t="s">
        <v>52</v>
      </c>
      <c r="AN76" s="3" t="s">
        <v>53</v>
      </c>
      <c r="AO76" s="3" t="s">
        <v>54</v>
      </c>
      <c r="AP76" s="3" t="s">
        <v>55</v>
      </c>
      <c r="AQ76" s="3" t="s">
        <v>56</v>
      </c>
      <c r="AR76" s="3" t="s">
        <v>57</v>
      </c>
      <c r="AS76" s="3" t="s">
        <v>58</v>
      </c>
      <c r="AT76" s="3" t="s">
        <v>59</v>
      </c>
      <c r="AU76" s="3"/>
      <c r="AV76" s="3"/>
      <c r="AW76" s="3"/>
      <c r="AX76" s="3"/>
    </row>
    <row r="77" spans="1:50" ht="72.5" x14ac:dyDescent="0.35">
      <c r="A77" s="3" t="s">
        <v>367</v>
      </c>
      <c r="B77" s="3">
        <v>85552</v>
      </c>
      <c r="C77" s="3" t="str">
        <f>"000262585"</f>
        <v>000262585</v>
      </c>
      <c r="D77" s="3" t="str">
        <f>"7743036803"</f>
        <v>7743036803</v>
      </c>
      <c r="E77" s="3" t="s">
        <v>60</v>
      </c>
      <c r="F77" s="3" t="s">
        <v>138</v>
      </c>
      <c r="G77" s="3" t="str">
        <f>"14"</f>
        <v>14</v>
      </c>
      <c r="H77" s="3" t="str">
        <f>"1419"</f>
        <v>1419</v>
      </c>
      <c r="I77" s="3" t="str">
        <f>"1419064"</f>
        <v>1419064</v>
      </c>
      <c r="J77" s="3" t="str">
        <f>"0968871"</f>
        <v>0968871</v>
      </c>
      <c r="K77" s="3" t="str">
        <f>"33262"</f>
        <v>33262</v>
      </c>
      <c r="L77" s="3" t="s">
        <v>62</v>
      </c>
      <c r="M77" s="3" t="s">
        <v>139</v>
      </c>
      <c r="N77" s="3" t="s">
        <v>140</v>
      </c>
      <c r="O77" s="3" t="s">
        <v>141</v>
      </c>
      <c r="P77" s="3" t="s">
        <v>66</v>
      </c>
      <c r="Q77" s="3" t="s">
        <v>142</v>
      </c>
      <c r="R77" s="3" t="str">
        <f>"16"</f>
        <v>16</v>
      </c>
      <c r="S77" s="3" t="str">
        <f>""</f>
        <v/>
      </c>
      <c r="T77" s="3" t="str">
        <f>"09-530"</f>
        <v>09-530</v>
      </c>
      <c r="U77" s="3" t="str">
        <f>"Gąbin"</f>
        <v>Gąbin</v>
      </c>
      <c r="V77" s="3" t="str">
        <f>"242772979"</f>
        <v>242772979</v>
      </c>
      <c r="W77" s="3" t="str">
        <f>"242772979"</f>
        <v>242772979</v>
      </c>
      <c r="X77" s="3" t="s">
        <v>143</v>
      </c>
      <c r="Y77" s="3" t="s">
        <v>144</v>
      </c>
      <c r="Z77" s="3" t="s">
        <v>70</v>
      </c>
      <c r="AA77" s="3" t="s">
        <v>71</v>
      </c>
      <c r="AB77" s="3" t="s">
        <v>72</v>
      </c>
      <c r="AC77" s="3" t="s">
        <v>145</v>
      </c>
      <c r="AD77" s="4">
        <v>27395</v>
      </c>
      <c r="AE77" s="4">
        <v>27395</v>
      </c>
      <c r="AF77" s="3"/>
      <c r="AG77" s="3" t="s">
        <v>27</v>
      </c>
      <c r="AH77" s="3" t="s">
        <v>146</v>
      </c>
      <c r="AI77" s="3" t="str">
        <f>"611015425"</f>
        <v>611015425</v>
      </c>
      <c r="AJ77" s="3" t="str">
        <f>"7743211258"</f>
        <v>7743211258</v>
      </c>
      <c r="AK77" s="3" t="s">
        <v>62</v>
      </c>
      <c r="AL77" s="3" t="s">
        <v>139</v>
      </c>
      <c r="AM77" s="3" t="s">
        <v>140</v>
      </c>
      <c r="AN77" s="3" t="str">
        <f>"samodzielna"</f>
        <v>samodzielna</v>
      </c>
      <c r="AO77" s="3"/>
      <c r="AP77" s="3"/>
      <c r="AQ77" s="3"/>
      <c r="AR77" s="3">
        <v>543</v>
      </c>
      <c r="AS77" s="3" t="s">
        <v>147</v>
      </c>
      <c r="AT77" s="3" t="s">
        <v>100</v>
      </c>
      <c r="AU77" s="3"/>
      <c r="AV77" s="3">
        <v>9</v>
      </c>
      <c r="AW77" s="3"/>
      <c r="AX77" s="3"/>
    </row>
    <row r="78" spans="1:50" ht="72.5" x14ac:dyDescent="0.35">
      <c r="A78" s="7" t="s">
        <v>368</v>
      </c>
      <c r="B78" s="3">
        <v>4661</v>
      </c>
      <c r="C78" s="3" t="str">
        <f>"000265715"</f>
        <v>000265715</v>
      </c>
      <c r="D78" s="3" t="str">
        <f>"7742585442"</f>
        <v>7742585442</v>
      </c>
      <c r="E78" s="3" t="s">
        <v>60</v>
      </c>
      <c r="F78" s="3" t="s">
        <v>333</v>
      </c>
      <c r="G78" s="3" t="str">
        <f>"14"</f>
        <v>14</v>
      </c>
      <c r="H78" s="3" t="str">
        <f>"1419"</f>
        <v>1419</v>
      </c>
      <c r="I78" s="3" t="str">
        <f>"1419012"</f>
        <v>1419012</v>
      </c>
      <c r="J78" s="3" t="str">
        <f>"0559552"</f>
        <v>0559552</v>
      </c>
      <c r="K78" s="3" t="str">
        <f>"19865"</f>
        <v>19865</v>
      </c>
      <c r="L78" s="3" t="s">
        <v>62</v>
      </c>
      <c r="M78" s="3" t="s">
        <v>139</v>
      </c>
      <c r="N78" s="3" t="s">
        <v>334</v>
      </c>
      <c r="O78" s="3" t="s">
        <v>335</v>
      </c>
      <c r="P78" s="3" t="s">
        <v>133</v>
      </c>
      <c r="Q78" s="3" t="s">
        <v>336</v>
      </c>
      <c r="R78" s="3" t="str">
        <f>"42"</f>
        <v>42</v>
      </c>
      <c r="S78" s="3" t="str">
        <f>""</f>
        <v/>
      </c>
      <c r="T78" s="3" t="str">
        <f>"09-230"</f>
        <v>09-230</v>
      </c>
      <c r="U78" s="3" t="str">
        <f>"Bielsk"</f>
        <v>Bielsk</v>
      </c>
      <c r="V78" s="3" t="str">
        <f>"242615015"</f>
        <v>242615015</v>
      </c>
      <c r="W78" s="3" t="str">
        <f>""</f>
        <v/>
      </c>
      <c r="X78" s="3" t="s">
        <v>337</v>
      </c>
      <c r="Y78" s="3" t="s">
        <v>338</v>
      </c>
      <c r="Z78" s="3" t="s">
        <v>70</v>
      </c>
      <c r="AA78" s="3" t="s">
        <v>71</v>
      </c>
      <c r="AB78" s="3" t="s">
        <v>72</v>
      </c>
      <c r="AC78" s="3" t="s">
        <v>339</v>
      </c>
      <c r="AD78" s="4">
        <v>14124</v>
      </c>
      <c r="AE78" s="4">
        <v>14124</v>
      </c>
      <c r="AF78" s="3"/>
      <c r="AG78" s="3" t="s">
        <v>27</v>
      </c>
      <c r="AH78" s="3" t="s">
        <v>340</v>
      </c>
      <c r="AI78" s="3" t="str">
        <f>"611015566"</f>
        <v>611015566</v>
      </c>
      <c r="AJ78" s="3" t="str">
        <f>""</f>
        <v/>
      </c>
      <c r="AK78" s="3" t="s">
        <v>62</v>
      </c>
      <c r="AL78" s="3" t="s">
        <v>139</v>
      </c>
      <c r="AM78" s="3" t="s">
        <v>334</v>
      </c>
      <c r="AN78" s="3" t="str">
        <f>"samodzielna"</f>
        <v>samodzielna</v>
      </c>
      <c r="AO78" s="3"/>
      <c r="AP78" s="3"/>
      <c r="AQ78" s="3"/>
      <c r="AR78" s="3">
        <v>401</v>
      </c>
      <c r="AS78" s="3" t="s">
        <v>341</v>
      </c>
      <c r="AT78" s="3" t="s">
        <v>76</v>
      </c>
      <c r="AU78" s="3"/>
      <c r="AV78" s="3"/>
      <c r="AW78" s="3"/>
      <c r="AX78" s="3"/>
    </row>
    <row r="79" spans="1:50" x14ac:dyDescent="0.35">
      <c r="A79" s="3"/>
      <c r="B79" s="3"/>
      <c r="C79" s="6" t="s">
        <v>1</v>
      </c>
      <c r="D79" s="8"/>
      <c r="E79" s="8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58" x14ac:dyDescent="0.35">
      <c r="A80" s="3" t="s">
        <v>369</v>
      </c>
      <c r="B80" s="3">
        <v>29348</v>
      </c>
      <c r="C80" s="3" t="str">
        <f>"000261812"</f>
        <v>000261812</v>
      </c>
      <c r="D80" s="3" t="str">
        <f>"7742966061"</f>
        <v>7742966061</v>
      </c>
      <c r="E80" s="3" t="s">
        <v>269</v>
      </c>
      <c r="F80" s="3" t="s">
        <v>288</v>
      </c>
      <c r="G80" s="3" t="str">
        <f>"14"</f>
        <v>14</v>
      </c>
      <c r="H80" s="3" t="str">
        <f>"1419"</f>
        <v>1419</v>
      </c>
      <c r="I80" s="3" t="str">
        <f>"1419154"</f>
        <v>1419154</v>
      </c>
      <c r="J80" s="3" t="str">
        <f>"0969356"</f>
        <v>0969356</v>
      </c>
      <c r="K80" s="3" t="str">
        <f>"14203"</f>
        <v>14203</v>
      </c>
      <c r="L80" s="3" t="s">
        <v>62</v>
      </c>
      <c r="M80" s="3" t="s">
        <v>139</v>
      </c>
      <c r="N80" s="3" t="s">
        <v>206</v>
      </c>
      <c r="O80" s="3" t="s">
        <v>207</v>
      </c>
      <c r="P80" s="3" t="s">
        <v>66</v>
      </c>
      <c r="Q80" s="3" t="s">
        <v>208</v>
      </c>
      <c r="R80" s="3" t="str">
        <f>"11a"</f>
        <v>11a</v>
      </c>
      <c r="S80" s="3" t="str">
        <f>""</f>
        <v/>
      </c>
      <c r="T80" s="3" t="str">
        <f>"09-450"</f>
        <v>09-450</v>
      </c>
      <c r="U80" s="3" t="str">
        <f>"Wyszogród"</f>
        <v>Wyszogród</v>
      </c>
      <c r="V80" s="3" t="str">
        <f>"242311100"</f>
        <v>242311100</v>
      </c>
      <c r="W80" s="3" t="str">
        <f>"242311100"</f>
        <v>242311100</v>
      </c>
      <c r="X80" s="3" t="s">
        <v>289</v>
      </c>
      <c r="Y80" s="3" t="s">
        <v>290</v>
      </c>
      <c r="Z80" s="3" t="s">
        <v>70</v>
      </c>
      <c r="AA80" s="3" t="s">
        <v>71</v>
      </c>
      <c r="AB80" s="3" t="s">
        <v>72</v>
      </c>
      <c r="AC80" s="3"/>
      <c r="AD80" s="4">
        <v>21040</v>
      </c>
      <c r="AE80" s="4">
        <v>21064</v>
      </c>
      <c r="AF80" s="3"/>
      <c r="AG80" s="3" t="s">
        <v>222</v>
      </c>
      <c r="AH80" s="3" t="s">
        <v>291</v>
      </c>
      <c r="AI80" s="3" t="str">
        <f>"611016034"</f>
        <v>611016034</v>
      </c>
      <c r="AJ80" s="3" t="str">
        <f>""</f>
        <v/>
      </c>
      <c r="AK80" s="3" t="s">
        <v>62</v>
      </c>
      <c r="AL80" s="3" t="s">
        <v>292</v>
      </c>
      <c r="AM80" s="3" t="s">
        <v>293</v>
      </c>
      <c r="AN80" s="3" t="str">
        <f>"szkoła/placówka w zespole"</f>
        <v>szkoła/placówka w zespole</v>
      </c>
      <c r="AO80" s="3">
        <v>12094</v>
      </c>
      <c r="AP80" s="3" t="s">
        <v>98</v>
      </c>
      <c r="AQ80" s="3" t="s">
        <v>294</v>
      </c>
      <c r="AR80" s="3">
        <v>176</v>
      </c>
      <c r="AS80" s="3"/>
      <c r="AT80" s="3" t="s">
        <v>241</v>
      </c>
      <c r="AU80" s="3"/>
      <c r="AV80" s="3"/>
      <c r="AW80" s="3"/>
      <c r="AX80" s="3"/>
    </row>
    <row r="81" spans="1:50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x14ac:dyDescent="0.35">
      <c r="A82" s="3"/>
      <c r="B82" s="3"/>
      <c r="C82" s="9" t="s">
        <v>10</v>
      </c>
      <c r="D82" s="8"/>
      <c r="E82" s="8"/>
      <c r="F82" s="8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x14ac:dyDescent="0.35">
      <c r="A83" s="3"/>
      <c r="B83" s="3"/>
      <c r="C83" s="8"/>
      <c r="D83" s="8"/>
      <c r="E83" s="8"/>
      <c r="F83" s="8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x14ac:dyDescent="0.35">
      <c r="A84" s="3"/>
      <c r="B84" s="3"/>
      <c r="C84" s="6" t="s">
        <v>0</v>
      </c>
      <c r="D84" s="8"/>
      <c r="E84" s="8"/>
      <c r="F84" s="8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43.5" x14ac:dyDescent="0.35">
      <c r="A85" s="3" t="s">
        <v>342</v>
      </c>
      <c r="B85" s="3" t="s">
        <v>15</v>
      </c>
      <c r="C85" s="3" t="s">
        <v>16</v>
      </c>
      <c r="D85" s="3" t="s">
        <v>17</v>
      </c>
      <c r="E85" s="3" t="s">
        <v>18</v>
      </c>
      <c r="F85" s="3" t="s">
        <v>19</v>
      </c>
      <c r="G85" s="3" t="s">
        <v>20</v>
      </c>
      <c r="H85" s="3" t="s">
        <v>21</v>
      </c>
      <c r="I85" s="3" t="s">
        <v>22</v>
      </c>
      <c r="J85" s="3" t="s">
        <v>23</v>
      </c>
      <c r="K85" s="3" t="s">
        <v>24</v>
      </c>
      <c r="L85" s="3" t="s">
        <v>25</v>
      </c>
      <c r="M85" s="3" t="s">
        <v>26</v>
      </c>
      <c r="N85" s="3" t="s">
        <v>27</v>
      </c>
      <c r="O85" s="3" t="s">
        <v>28</v>
      </c>
      <c r="P85" s="3" t="s">
        <v>29</v>
      </c>
      <c r="Q85" s="3" t="s">
        <v>30</v>
      </c>
      <c r="R85" s="3" t="s">
        <v>31</v>
      </c>
      <c r="S85" s="3" t="s">
        <v>32</v>
      </c>
      <c r="T85" s="3" t="s">
        <v>33</v>
      </c>
      <c r="U85" s="3" t="s">
        <v>34</v>
      </c>
      <c r="V85" s="3" t="s">
        <v>35</v>
      </c>
      <c r="W85" s="3" t="s">
        <v>36</v>
      </c>
      <c r="X85" s="3" t="s">
        <v>37</v>
      </c>
      <c r="Y85" s="3" t="s">
        <v>38</v>
      </c>
      <c r="Z85" s="3" t="s">
        <v>39</v>
      </c>
      <c r="AA85" s="3" t="s">
        <v>40</v>
      </c>
      <c r="AB85" s="3" t="s">
        <v>41</v>
      </c>
      <c r="AC85" s="3" t="s">
        <v>42</v>
      </c>
      <c r="AD85" s="3" t="s">
        <v>43</v>
      </c>
      <c r="AE85" s="3" t="s">
        <v>44</v>
      </c>
      <c r="AF85" s="3" t="s">
        <v>45</v>
      </c>
      <c r="AG85" s="3" t="s">
        <v>46</v>
      </c>
      <c r="AH85" s="3" t="s">
        <v>47</v>
      </c>
      <c r="AI85" s="3" t="s">
        <v>48</v>
      </c>
      <c r="AJ85" s="3" t="s">
        <v>49</v>
      </c>
      <c r="AK85" s="3" t="s">
        <v>50</v>
      </c>
      <c r="AL85" s="3" t="s">
        <v>51</v>
      </c>
      <c r="AM85" s="3" t="s">
        <v>52</v>
      </c>
      <c r="AN85" s="3" t="s">
        <v>53</v>
      </c>
      <c r="AO85" s="3" t="s">
        <v>54</v>
      </c>
      <c r="AP85" s="3" t="s">
        <v>55</v>
      </c>
      <c r="AQ85" s="3" t="s">
        <v>56</v>
      </c>
      <c r="AR85" s="3" t="s">
        <v>57</v>
      </c>
      <c r="AS85" s="3" t="s">
        <v>58</v>
      </c>
      <c r="AT85" s="3" t="s">
        <v>59</v>
      </c>
      <c r="AU85" s="3"/>
      <c r="AV85" s="3"/>
      <c r="AW85" s="3"/>
      <c r="AX85" s="3"/>
    </row>
    <row r="86" spans="1:50" ht="58" x14ac:dyDescent="0.35">
      <c r="A86" s="3" t="s">
        <v>370</v>
      </c>
      <c r="B86" s="3">
        <v>30800</v>
      </c>
      <c r="C86" s="3" t="str">
        <f>"000837175"</f>
        <v>000837175</v>
      </c>
      <c r="D86" s="3" t="str">
        <f>"6010000105"</f>
        <v>6010000105</v>
      </c>
      <c r="E86" s="3" t="s">
        <v>60</v>
      </c>
      <c r="F86" s="3" t="s">
        <v>148</v>
      </c>
      <c r="G86" s="3" t="str">
        <f>"14"</f>
        <v>14</v>
      </c>
      <c r="H86" s="3" t="str">
        <f>"1423"</f>
        <v>1423</v>
      </c>
      <c r="I86" s="3" t="str">
        <f>"1423065"</f>
        <v>1423065</v>
      </c>
      <c r="J86" s="3" t="str">
        <f>"0633946"</f>
        <v>0633946</v>
      </c>
      <c r="K86" s="3" t="str">
        <f>"24477"</f>
        <v>24477</v>
      </c>
      <c r="L86" s="3" t="s">
        <v>62</v>
      </c>
      <c r="M86" s="3" t="s">
        <v>149</v>
      </c>
      <c r="N86" s="3" t="s">
        <v>150</v>
      </c>
      <c r="O86" s="3" t="s">
        <v>151</v>
      </c>
      <c r="P86" s="3" t="s">
        <v>133</v>
      </c>
      <c r="Q86" s="3" t="s">
        <v>152</v>
      </c>
      <c r="R86" s="3" t="str">
        <f>"9"</f>
        <v>9</v>
      </c>
      <c r="S86" s="3" t="str">
        <f>""</f>
        <v/>
      </c>
      <c r="T86" s="3" t="str">
        <f>"26-400"</f>
        <v>26-400</v>
      </c>
      <c r="U86" s="3" t="str">
        <f>"Przysucha"</f>
        <v>Przysucha</v>
      </c>
      <c r="V86" s="3" t="str">
        <f>"486752484"</f>
        <v>486752484</v>
      </c>
      <c r="W86" s="3" t="str">
        <f>"486752484"</f>
        <v>486752484</v>
      </c>
      <c r="X86" s="3" t="s">
        <v>153</v>
      </c>
      <c r="Y86" s="3" t="s">
        <v>154</v>
      </c>
      <c r="Z86" s="3" t="s">
        <v>70</v>
      </c>
      <c r="AA86" s="3" t="s">
        <v>71</v>
      </c>
      <c r="AB86" s="3" t="s">
        <v>72</v>
      </c>
      <c r="AC86" s="3" t="s">
        <v>155</v>
      </c>
      <c r="AD86" s="4">
        <v>24437</v>
      </c>
      <c r="AE86" s="4">
        <v>24437</v>
      </c>
      <c r="AF86" s="3"/>
      <c r="AG86" s="3" t="s">
        <v>27</v>
      </c>
      <c r="AH86" s="3" t="s">
        <v>156</v>
      </c>
      <c r="AI86" s="3" t="str">
        <f>"670223379"</f>
        <v>670223379</v>
      </c>
      <c r="AJ86" s="3" t="str">
        <f>""</f>
        <v/>
      </c>
      <c r="AK86" s="3" t="s">
        <v>62</v>
      </c>
      <c r="AL86" s="3" t="s">
        <v>149</v>
      </c>
      <c r="AM86" s="3" t="s">
        <v>157</v>
      </c>
      <c r="AN86" s="3" t="str">
        <f>"samodzielna"</f>
        <v>samodzielna</v>
      </c>
      <c r="AO86" s="3"/>
      <c r="AP86" s="3"/>
      <c r="AQ86" s="3"/>
      <c r="AR86" s="3">
        <v>214</v>
      </c>
      <c r="AS86" s="3" t="s">
        <v>75</v>
      </c>
      <c r="AT86" s="3" t="s">
        <v>100</v>
      </c>
      <c r="AU86" s="3"/>
      <c r="AV86" s="3"/>
      <c r="AW86" s="3"/>
      <c r="AX86" s="3"/>
    </row>
    <row r="87" spans="1:50" x14ac:dyDescent="0.35">
      <c r="A87" s="3"/>
      <c r="B87" s="3"/>
      <c r="C87" s="6" t="s">
        <v>1</v>
      </c>
      <c r="D87" s="8"/>
      <c r="E87" s="8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43.5" x14ac:dyDescent="0.35">
      <c r="A88" s="3" t="s">
        <v>371</v>
      </c>
      <c r="B88" s="3">
        <v>11001</v>
      </c>
      <c r="C88" s="3" t="str">
        <f>"672968155"</f>
        <v>672968155</v>
      </c>
      <c r="D88" s="3" t="str">
        <f>""</f>
        <v/>
      </c>
      <c r="E88" s="3" t="s">
        <v>269</v>
      </c>
      <c r="F88" s="3" t="s">
        <v>271</v>
      </c>
      <c r="G88" s="3" t="str">
        <f>"14"</f>
        <v>14</v>
      </c>
      <c r="H88" s="3" t="str">
        <f>"1423"</f>
        <v>1423</v>
      </c>
      <c r="I88" s="3" t="str">
        <f>"1423064"</f>
        <v>1423064</v>
      </c>
      <c r="J88" s="3" t="str">
        <f>"0973777"</f>
        <v>0973777</v>
      </c>
      <c r="K88" s="3" t="str">
        <f>"07120"</f>
        <v>07120</v>
      </c>
      <c r="L88" s="3" t="s">
        <v>62</v>
      </c>
      <c r="M88" s="3" t="s">
        <v>149</v>
      </c>
      <c r="N88" s="3" t="s">
        <v>157</v>
      </c>
      <c r="O88" s="3" t="s">
        <v>295</v>
      </c>
      <c r="P88" s="3" t="s">
        <v>66</v>
      </c>
      <c r="Q88" s="3" t="s">
        <v>296</v>
      </c>
      <c r="R88" s="3" t="str">
        <f>"13"</f>
        <v>13</v>
      </c>
      <c r="S88" s="3" t="str">
        <f>""</f>
        <v/>
      </c>
      <c r="T88" s="3" t="str">
        <f>"26-400"</f>
        <v>26-400</v>
      </c>
      <c r="U88" s="3" t="str">
        <f>"Przysucha"</f>
        <v>Przysucha</v>
      </c>
      <c r="V88" s="3" t="str">
        <f>"486752570"</f>
        <v>486752570</v>
      </c>
      <c r="W88" s="3" t="str">
        <f>"486752570"</f>
        <v>486752570</v>
      </c>
      <c r="X88" s="3" t="s">
        <v>297</v>
      </c>
      <c r="Y88" s="3" t="s">
        <v>298</v>
      </c>
      <c r="Z88" s="3" t="s">
        <v>70</v>
      </c>
      <c r="AA88" s="3" t="s">
        <v>71</v>
      </c>
      <c r="AB88" s="3" t="s">
        <v>72</v>
      </c>
      <c r="AC88" s="3"/>
      <c r="AD88" s="4">
        <v>37496</v>
      </c>
      <c r="AE88" s="4">
        <v>37501</v>
      </c>
      <c r="AF88" s="3"/>
      <c r="AG88" s="3" t="s">
        <v>222</v>
      </c>
      <c r="AH88" s="3" t="s">
        <v>299</v>
      </c>
      <c r="AI88" s="3" t="str">
        <f>"670223190"</f>
        <v>670223190</v>
      </c>
      <c r="AJ88" s="3" t="str">
        <f>""</f>
        <v/>
      </c>
      <c r="AK88" s="3" t="s">
        <v>62</v>
      </c>
      <c r="AL88" s="3" t="s">
        <v>149</v>
      </c>
      <c r="AM88" s="3" t="s">
        <v>157</v>
      </c>
      <c r="AN88" s="3" t="str">
        <f>"szkoła/placówka w zespole"</f>
        <v>szkoła/placówka w zespole</v>
      </c>
      <c r="AO88" s="3">
        <v>7450</v>
      </c>
      <c r="AP88" s="3" t="s">
        <v>98</v>
      </c>
      <c r="AQ88" s="3" t="s">
        <v>300</v>
      </c>
      <c r="AR88" s="3">
        <v>360</v>
      </c>
      <c r="AS88" s="3"/>
      <c r="AT88" s="3" t="s">
        <v>301</v>
      </c>
      <c r="AU88" s="3"/>
      <c r="AV88" s="3"/>
      <c r="AW88" s="3"/>
      <c r="AX88" s="3"/>
    </row>
    <row r="89" spans="1:50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x14ac:dyDescent="0.35">
      <c r="A90" s="3"/>
      <c r="B90" s="3"/>
      <c r="C90" s="9" t="s">
        <v>11</v>
      </c>
      <c r="D90" s="8"/>
      <c r="E90" s="8"/>
      <c r="F90" s="8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x14ac:dyDescent="0.35">
      <c r="A91" s="3"/>
      <c r="B91" s="3"/>
      <c r="C91" s="8"/>
      <c r="D91" s="8"/>
      <c r="E91" s="8"/>
      <c r="F91" s="8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x14ac:dyDescent="0.35">
      <c r="A92" s="3"/>
      <c r="B92" s="3"/>
      <c r="C92" s="6" t="s">
        <v>0</v>
      </c>
      <c r="D92" s="8"/>
      <c r="E92" s="8"/>
      <c r="F92" s="8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43.5" x14ac:dyDescent="0.35">
      <c r="A93" s="3" t="s">
        <v>342</v>
      </c>
      <c r="B93" s="3" t="s">
        <v>15</v>
      </c>
      <c r="C93" s="3" t="s">
        <v>16</v>
      </c>
      <c r="D93" s="3" t="s">
        <v>17</v>
      </c>
      <c r="E93" s="3" t="s">
        <v>18</v>
      </c>
      <c r="F93" s="3" t="s">
        <v>19</v>
      </c>
      <c r="G93" s="3" t="s">
        <v>20</v>
      </c>
      <c r="H93" s="3" t="s">
        <v>21</v>
      </c>
      <c r="I93" s="3" t="s">
        <v>22</v>
      </c>
      <c r="J93" s="3" t="s">
        <v>23</v>
      </c>
      <c r="K93" s="3" t="s">
        <v>24</v>
      </c>
      <c r="L93" s="3" t="s">
        <v>25</v>
      </c>
      <c r="M93" s="3" t="s">
        <v>26</v>
      </c>
      <c r="N93" s="3" t="s">
        <v>27</v>
      </c>
      <c r="O93" s="3" t="s">
        <v>28</v>
      </c>
      <c r="P93" s="3" t="s">
        <v>29</v>
      </c>
      <c r="Q93" s="3" t="s">
        <v>30</v>
      </c>
      <c r="R93" s="3" t="s">
        <v>31</v>
      </c>
      <c r="S93" s="3" t="s">
        <v>32</v>
      </c>
      <c r="T93" s="3" t="s">
        <v>33</v>
      </c>
      <c r="U93" s="3" t="s">
        <v>34</v>
      </c>
      <c r="V93" s="3" t="s">
        <v>35</v>
      </c>
      <c r="W93" s="3" t="s">
        <v>36</v>
      </c>
      <c r="X93" s="3" t="s">
        <v>37</v>
      </c>
      <c r="Y93" s="3" t="s">
        <v>38</v>
      </c>
      <c r="Z93" s="3" t="s">
        <v>39</v>
      </c>
      <c r="AA93" s="3" t="s">
        <v>40</v>
      </c>
      <c r="AB93" s="3" t="s">
        <v>41</v>
      </c>
      <c r="AC93" s="3" t="s">
        <v>42</v>
      </c>
      <c r="AD93" s="3" t="s">
        <v>43</v>
      </c>
      <c r="AE93" s="3" t="s">
        <v>44</v>
      </c>
      <c r="AF93" s="3" t="s">
        <v>45</v>
      </c>
      <c r="AG93" s="3" t="s">
        <v>46</v>
      </c>
      <c r="AH93" s="3" t="s">
        <v>47</v>
      </c>
      <c r="AI93" s="3" t="s">
        <v>48</v>
      </c>
      <c r="AJ93" s="3" t="s">
        <v>49</v>
      </c>
      <c r="AK93" s="3" t="s">
        <v>50</v>
      </c>
      <c r="AL93" s="3" t="s">
        <v>51</v>
      </c>
      <c r="AM93" s="3" t="s">
        <v>52</v>
      </c>
      <c r="AN93" s="3" t="s">
        <v>53</v>
      </c>
      <c r="AO93" s="3" t="s">
        <v>54</v>
      </c>
      <c r="AP93" s="3" t="s">
        <v>55</v>
      </c>
      <c r="AQ93" s="3" t="s">
        <v>56</v>
      </c>
      <c r="AR93" s="3" t="s">
        <v>57</v>
      </c>
      <c r="AS93" s="3" t="s">
        <v>58</v>
      </c>
      <c r="AT93" s="3" t="s">
        <v>59</v>
      </c>
      <c r="AU93" s="3"/>
      <c r="AV93" s="3"/>
      <c r="AW93" s="3"/>
      <c r="AX93" s="3"/>
    </row>
    <row r="94" spans="1:50" ht="101.5" x14ac:dyDescent="0.35">
      <c r="A94" s="3" t="s">
        <v>372</v>
      </c>
      <c r="B94" s="3">
        <v>21170</v>
      </c>
      <c r="C94" s="3" t="str">
        <f>"001146697"</f>
        <v>001146697</v>
      </c>
      <c r="D94" s="3" t="str">
        <f>"1181520553"</f>
        <v>1181520553</v>
      </c>
      <c r="E94" s="3" t="s">
        <v>60</v>
      </c>
      <c r="F94" s="3" t="s">
        <v>158</v>
      </c>
      <c r="G94" s="3" t="str">
        <f>"14"</f>
        <v>14</v>
      </c>
      <c r="H94" s="3" t="str">
        <f>"1432"</f>
        <v>1432</v>
      </c>
      <c r="I94" s="3" t="str">
        <f>"1432055"</f>
        <v>1432055</v>
      </c>
      <c r="J94" s="3" t="str">
        <f>"0005121"</f>
        <v>0005121</v>
      </c>
      <c r="K94" s="3" t="str">
        <f>"18821"</f>
        <v>18821</v>
      </c>
      <c r="L94" s="3" t="s">
        <v>62</v>
      </c>
      <c r="M94" s="3" t="s">
        <v>159</v>
      </c>
      <c r="N94" s="3" t="s">
        <v>160</v>
      </c>
      <c r="O94" s="3" t="s">
        <v>161</v>
      </c>
      <c r="P94" s="3" t="s">
        <v>133</v>
      </c>
      <c r="Q94" s="3" t="s">
        <v>162</v>
      </c>
      <c r="R94" s="3" t="str">
        <f>"435"</f>
        <v>435</v>
      </c>
      <c r="S94" s="3" t="str">
        <f>""</f>
        <v/>
      </c>
      <c r="T94" s="3" t="str">
        <f>"05-092"</f>
        <v>05-092</v>
      </c>
      <c r="U94" s="3" t="str">
        <f>"Łomianki"</f>
        <v>Łomianki</v>
      </c>
      <c r="V94" s="3" t="str">
        <f>"227511023"</f>
        <v>227511023</v>
      </c>
      <c r="W94" s="3" t="str">
        <f>"227511023"</f>
        <v>227511023</v>
      </c>
      <c r="X94" s="3" t="s">
        <v>163</v>
      </c>
      <c r="Y94" s="3" t="s">
        <v>164</v>
      </c>
      <c r="Z94" s="3" t="s">
        <v>70</v>
      </c>
      <c r="AA94" s="3" t="s">
        <v>71</v>
      </c>
      <c r="AB94" s="3" t="s">
        <v>72</v>
      </c>
      <c r="AC94" s="3" t="s">
        <v>165</v>
      </c>
      <c r="AD94" s="4">
        <v>36280</v>
      </c>
      <c r="AE94" s="4">
        <v>36404</v>
      </c>
      <c r="AF94" s="3"/>
      <c r="AG94" s="3" t="s">
        <v>27</v>
      </c>
      <c r="AH94" s="3" t="s">
        <v>166</v>
      </c>
      <c r="AI94" s="3" t="str">
        <f>"013271826"</f>
        <v>013271826</v>
      </c>
      <c r="AJ94" s="3" t="str">
        <f>""</f>
        <v/>
      </c>
      <c r="AK94" s="3" t="s">
        <v>62</v>
      </c>
      <c r="AL94" s="3" t="s">
        <v>159</v>
      </c>
      <c r="AM94" s="3" t="s">
        <v>167</v>
      </c>
      <c r="AN94" s="3" t="str">
        <f>"samodzielna"</f>
        <v>samodzielna</v>
      </c>
      <c r="AO94" s="3"/>
      <c r="AP94" s="3"/>
      <c r="AQ94" s="3"/>
      <c r="AR94" s="3">
        <v>345</v>
      </c>
      <c r="AS94" s="3" t="s">
        <v>147</v>
      </c>
      <c r="AT94" s="3" t="s">
        <v>100</v>
      </c>
      <c r="AU94" s="3"/>
      <c r="AV94" s="3"/>
      <c r="AW94" s="3"/>
      <c r="AX94" s="3"/>
    </row>
    <row r="95" spans="1:50" x14ac:dyDescent="0.35">
      <c r="A95" s="3"/>
      <c r="B95" s="3"/>
      <c r="C95" s="6" t="s">
        <v>1</v>
      </c>
      <c r="D95" s="8"/>
      <c r="E95" s="8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87" x14ac:dyDescent="0.35">
      <c r="A96" s="3" t="s">
        <v>373</v>
      </c>
      <c r="B96" s="3">
        <v>31367</v>
      </c>
      <c r="C96" s="3" t="str">
        <f>"010996820"</f>
        <v>010996820</v>
      </c>
      <c r="D96" s="3" t="str">
        <f>""</f>
        <v/>
      </c>
      <c r="E96" s="3" t="s">
        <v>218</v>
      </c>
      <c r="F96" s="3" t="s">
        <v>251</v>
      </c>
      <c r="G96" s="3" t="str">
        <f>"14"</f>
        <v>14</v>
      </c>
      <c r="H96" s="3" t="str">
        <f>"1432"</f>
        <v>1432</v>
      </c>
      <c r="I96" s="3" t="str">
        <f>"1432064"</f>
        <v>1432064</v>
      </c>
      <c r="J96" s="3" t="str">
        <f>"0921415"</f>
        <v>0921415</v>
      </c>
      <c r="K96" s="3" t="str">
        <f>"17394"</f>
        <v>17394</v>
      </c>
      <c r="L96" s="3" t="s">
        <v>62</v>
      </c>
      <c r="M96" s="3" t="s">
        <v>159</v>
      </c>
      <c r="N96" s="3" t="s">
        <v>252</v>
      </c>
      <c r="O96" s="3" t="s">
        <v>253</v>
      </c>
      <c r="P96" s="3" t="s">
        <v>66</v>
      </c>
      <c r="Q96" s="3" t="s">
        <v>254</v>
      </c>
      <c r="R96" s="3" t="str">
        <f>"129/131"</f>
        <v>129/131</v>
      </c>
      <c r="S96" s="3" t="str">
        <f>""</f>
        <v/>
      </c>
      <c r="T96" s="3" t="str">
        <f>"05-850"</f>
        <v>05-850</v>
      </c>
      <c r="U96" s="3" t="str">
        <f>"Ożarów Mazowiecki"</f>
        <v>Ożarów Mazowiecki</v>
      </c>
      <c r="V96" s="3" t="str">
        <f>"227224193"</f>
        <v>227224193</v>
      </c>
      <c r="W96" s="3" t="str">
        <f>"224896006"</f>
        <v>224896006</v>
      </c>
      <c r="X96" s="3" t="s">
        <v>255</v>
      </c>
      <c r="Y96" s="3" t="s">
        <v>256</v>
      </c>
      <c r="Z96" s="3" t="s">
        <v>70</v>
      </c>
      <c r="AA96" s="3" t="s">
        <v>71</v>
      </c>
      <c r="AB96" s="3" t="s">
        <v>72</v>
      </c>
      <c r="AC96" s="3"/>
      <c r="AD96" s="4">
        <v>34855</v>
      </c>
      <c r="AE96" s="4">
        <v>34855</v>
      </c>
      <c r="AF96" s="3"/>
      <c r="AG96" s="3" t="s">
        <v>222</v>
      </c>
      <c r="AH96" s="3" t="s">
        <v>257</v>
      </c>
      <c r="AI96" s="3" t="str">
        <f>"013271996"</f>
        <v>013271996</v>
      </c>
      <c r="AJ96" s="3" t="str">
        <f>""</f>
        <v/>
      </c>
      <c r="AK96" s="3" t="s">
        <v>62</v>
      </c>
      <c r="AL96" s="3" t="s">
        <v>159</v>
      </c>
      <c r="AM96" s="3" t="s">
        <v>252</v>
      </c>
      <c r="AN96" s="3" t="str">
        <f>"szkoła/placówka w zespole"</f>
        <v>szkoła/placówka w zespole</v>
      </c>
      <c r="AO96" s="3">
        <v>8091</v>
      </c>
      <c r="AP96" s="3" t="s">
        <v>98</v>
      </c>
      <c r="AQ96" s="3" t="s">
        <v>258</v>
      </c>
      <c r="AR96" s="3">
        <v>134</v>
      </c>
      <c r="AS96" s="3"/>
      <c r="AT96" s="3" t="s">
        <v>100</v>
      </c>
      <c r="AU96" s="3"/>
      <c r="AV96" s="3"/>
      <c r="AW96" s="3"/>
      <c r="AX96" s="3"/>
    </row>
    <row r="97" spans="1:50" ht="87" x14ac:dyDescent="0.35">
      <c r="A97" s="3" t="s">
        <v>374</v>
      </c>
      <c r="B97" s="3">
        <v>22413</v>
      </c>
      <c r="C97" s="3" t="str">
        <f>"015194580"</f>
        <v>015194580</v>
      </c>
      <c r="D97" s="3" t="str">
        <f>"1181647503"</f>
        <v>1181647503</v>
      </c>
      <c r="E97" s="3" t="s">
        <v>269</v>
      </c>
      <c r="F97" s="3" t="s">
        <v>314</v>
      </c>
      <c r="G97" s="3" t="str">
        <f>"14"</f>
        <v>14</v>
      </c>
      <c r="H97" s="3" t="str">
        <f>"1432"</f>
        <v>1432</v>
      </c>
      <c r="I97" s="3" t="str">
        <f>"1432014"</f>
        <v>1432014</v>
      </c>
      <c r="J97" s="3" t="str">
        <f>"0920249"</f>
        <v>0920249</v>
      </c>
      <c r="K97" s="3" t="str">
        <f>"14914"</f>
        <v>14914</v>
      </c>
      <c r="L97" s="3" t="s">
        <v>62</v>
      </c>
      <c r="M97" s="3" t="s">
        <v>159</v>
      </c>
      <c r="N97" s="3" t="s">
        <v>315</v>
      </c>
      <c r="O97" s="3" t="s">
        <v>316</v>
      </c>
      <c r="P97" s="3" t="s">
        <v>66</v>
      </c>
      <c r="Q97" s="3" t="s">
        <v>317</v>
      </c>
      <c r="R97" s="3" t="str">
        <f>"3"</f>
        <v>3</v>
      </c>
      <c r="S97" s="3" t="str">
        <f>""</f>
        <v/>
      </c>
      <c r="T97" s="3" t="str">
        <f>"05-870"</f>
        <v>05-870</v>
      </c>
      <c r="U97" s="3" t="str">
        <f>"Błonie"</f>
        <v>Błonie</v>
      </c>
      <c r="V97" s="3" t="str">
        <f>"227253142"</f>
        <v>227253142</v>
      </c>
      <c r="W97" s="3" t="str">
        <f>"227253142"</f>
        <v>227253142</v>
      </c>
      <c r="X97" s="3" t="s">
        <v>318</v>
      </c>
      <c r="Y97" s="3" t="s">
        <v>319</v>
      </c>
      <c r="Z97" s="3" t="s">
        <v>70</v>
      </c>
      <c r="AA97" s="3" t="s">
        <v>71</v>
      </c>
      <c r="AB97" s="3" t="s">
        <v>72</v>
      </c>
      <c r="AC97" s="3" t="s">
        <v>320</v>
      </c>
      <c r="AD97" s="4">
        <v>37500</v>
      </c>
      <c r="AE97" s="4">
        <v>37500</v>
      </c>
      <c r="AF97" s="3"/>
      <c r="AG97" s="3" t="s">
        <v>27</v>
      </c>
      <c r="AH97" s="3" t="s">
        <v>321</v>
      </c>
      <c r="AI97" s="3" t="str">
        <f>"013271230"</f>
        <v>013271230</v>
      </c>
      <c r="AJ97" s="3" t="str">
        <f>""</f>
        <v/>
      </c>
      <c r="AK97" s="3" t="s">
        <v>62</v>
      </c>
      <c r="AL97" s="3" t="s">
        <v>159</v>
      </c>
      <c r="AM97" s="3" t="s">
        <v>315</v>
      </c>
      <c r="AN97" s="3" t="str">
        <f>"samodzielna"</f>
        <v>samodzielna</v>
      </c>
      <c r="AO97" s="3"/>
      <c r="AP97" s="3"/>
      <c r="AQ97" s="3"/>
      <c r="AR97" s="3">
        <v>297</v>
      </c>
      <c r="AS97" s="3"/>
      <c r="AT97" s="3" t="s">
        <v>322</v>
      </c>
      <c r="AU97" s="3"/>
      <c r="AV97" s="3"/>
      <c r="AW97" s="3"/>
      <c r="AX97" s="3"/>
    </row>
    <row r="98" spans="1:50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2021-10-16T19:27:11Z</dcterms:created>
  <dcterms:modified xsi:type="dcterms:W3CDTF">2021-10-19T10:29:56Z</dcterms:modified>
</cp:coreProperties>
</file>